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专业测试" sheetId="6" r:id="rId1"/>
  </sheets>
  <definedNames>
    <definedName name="_xlnm._FilterDatabase" localSheetId="0" hidden="1">专业测试!$A$2:$J$2</definedName>
    <definedName name="_xlnm.Print_Titles" localSheetId="0">专业测试!$2:$2</definedName>
  </definedNames>
  <calcPr calcId="144525"/>
</workbook>
</file>

<file path=xl/sharedStrings.xml><?xml version="1.0" encoding="utf-8"?>
<sst xmlns="http://schemas.openxmlformats.org/spreadsheetml/2006/main" count="199" uniqueCount="19">
  <si>
    <t>2021年利辛县公办幼儿园招聘编外幼儿教师总成绩公示</t>
  </si>
  <si>
    <t>序号</t>
  </si>
  <si>
    <t>岗位代码</t>
  </si>
  <si>
    <t>岗位名称</t>
  </si>
  <si>
    <t>姓名</t>
  </si>
  <si>
    <t>准考证号</t>
  </si>
  <si>
    <t>教育综
合知识</t>
  </si>
  <si>
    <t>专业
知识</t>
  </si>
  <si>
    <t>笔试合
成成绩</t>
  </si>
  <si>
    <t>面试成绩</t>
  </si>
  <si>
    <t>总成绩</t>
  </si>
  <si>
    <t>幼儿教师1组</t>
  </si>
  <si>
    <t>幼儿教师2组</t>
  </si>
  <si>
    <t>幼儿教师3组</t>
  </si>
  <si>
    <t>幼儿教师4组</t>
  </si>
  <si>
    <t>幼儿教师5组</t>
  </si>
  <si>
    <t>幼儿教师6组</t>
  </si>
  <si>
    <t>幼儿教师7组</t>
  </si>
  <si>
    <t>幼儿教师8组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</si>
</sst>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b/>
      <sz val="2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0" fillId="11" borderId="4" applyNumberFormat="0" applyAlignment="0" applyProtection="0">
      <alignment vertical="center"/>
    </xf>
    <xf numFmtId="0" fontId="18" fillId="25" borderId="6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0"/>
  <sheetViews>
    <sheetView tabSelected="1" workbookViewId="0">
      <selection activeCell="A1" sqref="A1:J1"/>
    </sheetView>
  </sheetViews>
  <sheetFormatPr defaultColWidth="12.875" defaultRowHeight="18" customHeight="1"/>
  <cols>
    <col min="1" max="1" width="4.5" style="1" customWidth="1"/>
    <col min="2" max="2" width="8.25" style="1" customWidth="1"/>
    <col min="3" max="3" width="12" style="1" customWidth="1"/>
    <col min="4" max="4" width="9.75" style="1" customWidth="1"/>
    <col min="5" max="5" width="10" style="1" customWidth="1"/>
    <col min="6" max="10" width="10.125" style="1" customWidth="1"/>
    <col min="11" max="16349" width="12.875" style="1" customWidth="1"/>
    <col min="16350" max="16384" width="12.875" style="1"/>
  </cols>
  <sheetData>
    <row r="1" s="1" customFormat="1" ht="39.9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2" customFormat="1" ht="30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  <c r="I2" s="4" t="s">
        <v>9</v>
      </c>
      <c r="J2" s="4" t="s">
        <v>10</v>
      </c>
    </row>
    <row r="3" s="1" customFormat="1" customHeight="1" spans="1:10">
      <c r="A3" s="6">
        <v>1</v>
      </c>
      <c r="B3" s="6" t="str">
        <f>"2021101"</f>
        <v>2021101</v>
      </c>
      <c r="C3" s="6" t="s">
        <v>11</v>
      </c>
      <c r="D3" s="6" t="str">
        <f>"周晓蒙"</f>
        <v>周晓蒙</v>
      </c>
      <c r="E3" s="6" t="str">
        <f>"20210603"</f>
        <v>20210603</v>
      </c>
      <c r="F3" s="7">
        <v>109.7</v>
      </c>
      <c r="G3" s="7">
        <v>93.94</v>
      </c>
      <c r="H3" s="7">
        <v>100.24</v>
      </c>
      <c r="I3" s="6">
        <v>76.2</v>
      </c>
      <c r="J3" s="7">
        <f>H3*0.6+I3*0.4</f>
        <v>90.624</v>
      </c>
    </row>
    <row r="4" s="1" customFormat="1" customHeight="1" spans="1:10">
      <c r="A4" s="6">
        <v>2</v>
      </c>
      <c r="B4" s="6" t="str">
        <f>"2021101"</f>
        <v>2021101</v>
      </c>
      <c r="C4" s="6" t="s">
        <v>11</v>
      </c>
      <c r="D4" s="6" t="str">
        <f>"张婷"</f>
        <v>张婷</v>
      </c>
      <c r="E4" s="6" t="str">
        <f>"20210311"</f>
        <v>20210311</v>
      </c>
      <c r="F4" s="7">
        <v>100.4</v>
      </c>
      <c r="G4" s="7">
        <v>92.22</v>
      </c>
      <c r="H4" s="7">
        <v>95.49</v>
      </c>
      <c r="I4" s="6">
        <v>74</v>
      </c>
      <c r="J4" s="7">
        <f>H4*0.6+I4*0.4</f>
        <v>86.894</v>
      </c>
    </row>
    <row r="5" s="1" customFormat="1" customHeight="1" spans="1:10">
      <c r="A5" s="6">
        <v>3</v>
      </c>
      <c r="B5" s="6" t="str">
        <f>"2021101"</f>
        <v>2021101</v>
      </c>
      <c r="C5" s="6" t="s">
        <v>11</v>
      </c>
      <c r="D5" s="6" t="str">
        <f>"朱雯靖"</f>
        <v>朱雯靖</v>
      </c>
      <c r="E5" s="6" t="str">
        <f>"20210312"</f>
        <v>20210312</v>
      </c>
      <c r="F5" s="7">
        <v>102.1</v>
      </c>
      <c r="G5" s="7">
        <v>89.67</v>
      </c>
      <c r="H5" s="7">
        <v>94.64</v>
      </c>
      <c r="I5" s="6">
        <v>76.2</v>
      </c>
      <c r="J5" s="7">
        <f>H5*0.6+I5*0.4</f>
        <v>87.264</v>
      </c>
    </row>
    <row r="6" s="1" customFormat="1" customHeight="1" spans="1:10">
      <c r="A6" s="6">
        <v>4</v>
      </c>
      <c r="B6" s="6" t="str">
        <f>"2021101"</f>
        <v>2021101</v>
      </c>
      <c r="C6" s="6" t="s">
        <v>11</v>
      </c>
      <c r="D6" s="6" t="str">
        <f>"穆田甜"</f>
        <v>穆田甜</v>
      </c>
      <c r="E6" s="6" t="str">
        <f>"20210403"</f>
        <v>20210403</v>
      </c>
      <c r="F6" s="7">
        <v>101.7</v>
      </c>
      <c r="G6" s="7">
        <v>88.64</v>
      </c>
      <c r="H6" s="7">
        <v>93.86</v>
      </c>
      <c r="I6" s="6">
        <v>78.7</v>
      </c>
      <c r="J6" s="7">
        <f>H6*0.6+I6*0.4</f>
        <v>87.796</v>
      </c>
    </row>
    <row r="7" s="1" customFormat="1" customHeight="1" spans="1:10">
      <c r="A7" s="6">
        <v>5</v>
      </c>
      <c r="B7" s="6" t="str">
        <f>"2021101"</f>
        <v>2021101</v>
      </c>
      <c r="C7" s="6" t="s">
        <v>11</v>
      </c>
      <c r="D7" s="6" t="str">
        <f>"陆慧慧"</f>
        <v>陆慧慧</v>
      </c>
      <c r="E7" s="6" t="str">
        <f>"20210317"</f>
        <v>20210317</v>
      </c>
      <c r="F7" s="7">
        <v>106.4</v>
      </c>
      <c r="G7" s="7">
        <v>81.06</v>
      </c>
      <c r="H7" s="7">
        <v>91.2</v>
      </c>
      <c r="I7" s="6">
        <v>76.6</v>
      </c>
      <c r="J7" s="7">
        <f>H7*0.6+I7*0.4</f>
        <v>85.36</v>
      </c>
    </row>
    <row r="8" s="1" customFormat="1" customHeight="1" spans="1:10">
      <c r="A8" s="6">
        <v>6</v>
      </c>
      <c r="B8" s="6" t="str">
        <f>"2021101"</f>
        <v>2021101</v>
      </c>
      <c r="C8" s="6" t="s">
        <v>11</v>
      </c>
      <c r="D8" s="6" t="str">
        <f>"马蓓蓓"</f>
        <v>马蓓蓓</v>
      </c>
      <c r="E8" s="6" t="str">
        <f>"20211012"</f>
        <v>20211012</v>
      </c>
      <c r="F8" s="7">
        <v>97.6</v>
      </c>
      <c r="G8" s="7">
        <v>86.63</v>
      </c>
      <c r="H8" s="7">
        <v>91.02</v>
      </c>
      <c r="I8" s="6">
        <v>79.4</v>
      </c>
      <c r="J8" s="7">
        <f>H8*0.6+I8*0.4</f>
        <v>86.372</v>
      </c>
    </row>
    <row r="9" s="1" customFormat="1" customHeight="1" spans="1:10">
      <c r="A9" s="6">
        <v>7</v>
      </c>
      <c r="B9" s="6" t="str">
        <f>"2021101"</f>
        <v>2021101</v>
      </c>
      <c r="C9" s="6" t="s">
        <v>11</v>
      </c>
      <c r="D9" s="6" t="str">
        <f>"刘晓梦"</f>
        <v>刘晓梦</v>
      </c>
      <c r="E9" s="6" t="str">
        <f>"20210830"</f>
        <v>20210830</v>
      </c>
      <c r="F9" s="7">
        <v>97.4</v>
      </c>
      <c r="G9" s="7">
        <v>85.63</v>
      </c>
      <c r="H9" s="7">
        <v>90.34</v>
      </c>
      <c r="I9" s="6">
        <v>67.6</v>
      </c>
      <c r="J9" s="7">
        <f>H9*0.6+I9*0.4</f>
        <v>81.244</v>
      </c>
    </row>
    <row r="10" s="1" customFormat="1" customHeight="1" spans="1:10">
      <c r="A10" s="6">
        <v>8</v>
      </c>
      <c r="B10" s="6" t="str">
        <f>"2021101"</f>
        <v>2021101</v>
      </c>
      <c r="C10" s="6" t="s">
        <v>11</v>
      </c>
      <c r="D10" s="6" t="str">
        <f>"潘静怡"</f>
        <v>潘静怡</v>
      </c>
      <c r="E10" s="6" t="str">
        <f>"20210511"</f>
        <v>20210511</v>
      </c>
      <c r="F10" s="7">
        <v>103.5</v>
      </c>
      <c r="G10" s="7">
        <v>81.07</v>
      </c>
      <c r="H10" s="7">
        <v>90.04</v>
      </c>
      <c r="I10" s="6">
        <v>76.2</v>
      </c>
      <c r="J10" s="7">
        <f>H10*0.6+I10*0.4</f>
        <v>84.504</v>
      </c>
    </row>
    <row r="11" s="1" customFormat="1" customHeight="1" spans="1:10">
      <c r="A11" s="6">
        <v>9</v>
      </c>
      <c r="B11" s="6" t="str">
        <f>"2021101"</f>
        <v>2021101</v>
      </c>
      <c r="C11" s="6" t="s">
        <v>11</v>
      </c>
      <c r="D11" s="6" t="str">
        <f>"庞梦杰"</f>
        <v>庞梦杰</v>
      </c>
      <c r="E11" s="6" t="str">
        <f>"20210307"</f>
        <v>20210307</v>
      </c>
      <c r="F11" s="7">
        <v>102.4</v>
      </c>
      <c r="G11" s="7">
        <v>81.8</v>
      </c>
      <c r="H11" s="7">
        <v>90.04</v>
      </c>
      <c r="I11" s="6">
        <v>72.8</v>
      </c>
      <c r="J11" s="7">
        <f>H11*0.6+I11*0.4</f>
        <v>83.144</v>
      </c>
    </row>
    <row r="12" s="1" customFormat="1" customHeight="1" spans="1:10">
      <c r="A12" s="6">
        <v>10</v>
      </c>
      <c r="B12" s="6" t="str">
        <f>"2021101"</f>
        <v>2021101</v>
      </c>
      <c r="C12" s="6" t="s">
        <v>11</v>
      </c>
      <c r="D12" s="6" t="str">
        <f>"杨飒"</f>
        <v>杨飒</v>
      </c>
      <c r="E12" s="6" t="str">
        <f>"20211009"</f>
        <v>20211009</v>
      </c>
      <c r="F12" s="7">
        <v>95.6</v>
      </c>
      <c r="G12" s="7">
        <v>84.86</v>
      </c>
      <c r="H12" s="7">
        <v>89.16</v>
      </c>
      <c r="I12" s="6">
        <v>75.4</v>
      </c>
      <c r="J12" s="7">
        <f>H12*0.6+I12*0.4</f>
        <v>83.656</v>
      </c>
    </row>
    <row r="13" s="1" customFormat="1" customHeight="1" spans="1:10">
      <c r="A13" s="6">
        <v>11</v>
      </c>
      <c r="B13" s="6" t="str">
        <f>"2021101"</f>
        <v>2021101</v>
      </c>
      <c r="C13" s="6" t="s">
        <v>11</v>
      </c>
      <c r="D13" s="6" t="str">
        <f>"杨丽"</f>
        <v>杨丽</v>
      </c>
      <c r="E13" s="6" t="str">
        <f>"20211011"</f>
        <v>20211011</v>
      </c>
      <c r="F13" s="7">
        <v>99.7</v>
      </c>
      <c r="G13" s="7">
        <v>79.39</v>
      </c>
      <c r="H13" s="7">
        <v>87.51</v>
      </c>
      <c r="I13" s="6">
        <v>80.8</v>
      </c>
      <c r="J13" s="7">
        <f>H13*0.6+I13*0.4</f>
        <v>84.826</v>
      </c>
    </row>
    <row r="14" s="1" customFormat="1" customHeight="1" spans="1:10">
      <c r="A14" s="6">
        <v>12</v>
      </c>
      <c r="B14" s="6" t="str">
        <f>"2021101"</f>
        <v>2021101</v>
      </c>
      <c r="C14" s="6" t="s">
        <v>11</v>
      </c>
      <c r="D14" s="6" t="str">
        <f>"王倩倩"</f>
        <v>王倩倩</v>
      </c>
      <c r="E14" s="6" t="str">
        <f>"20210206"</f>
        <v>20210206</v>
      </c>
      <c r="F14" s="7">
        <v>91.5</v>
      </c>
      <c r="G14" s="7">
        <v>82.5</v>
      </c>
      <c r="H14" s="7">
        <v>86.1</v>
      </c>
      <c r="I14" s="6">
        <v>75.4</v>
      </c>
      <c r="J14" s="7">
        <f>H14*0.6+I14*0.4</f>
        <v>81.82</v>
      </c>
    </row>
    <row r="15" s="1" customFormat="1" customHeight="1" spans="1:10">
      <c r="A15" s="6">
        <v>13</v>
      </c>
      <c r="B15" s="6" t="str">
        <f>"2021101"</f>
        <v>2021101</v>
      </c>
      <c r="C15" s="6" t="s">
        <v>11</v>
      </c>
      <c r="D15" s="6" t="str">
        <f>"徐哪哪"</f>
        <v>徐哪哪</v>
      </c>
      <c r="E15" s="6" t="str">
        <f>"20210422"</f>
        <v>20210422</v>
      </c>
      <c r="F15" s="7">
        <v>98.6</v>
      </c>
      <c r="G15" s="7">
        <v>76.72</v>
      </c>
      <c r="H15" s="7">
        <v>85.47</v>
      </c>
      <c r="I15" s="6">
        <v>71.6</v>
      </c>
      <c r="J15" s="7">
        <f>H15*0.6+I15*0.4</f>
        <v>79.922</v>
      </c>
    </row>
    <row r="16" s="1" customFormat="1" customHeight="1" spans="1:10">
      <c r="A16" s="6">
        <v>14</v>
      </c>
      <c r="B16" s="6" t="str">
        <f>"2021101"</f>
        <v>2021101</v>
      </c>
      <c r="C16" s="6" t="s">
        <v>11</v>
      </c>
      <c r="D16" s="6" t="str">
        <f>"李佳美"</f>
        <v>李佳美</v>
      </c>
      <c r="E16" s="6" t="str">
        <f>"20210605"</f>
        <v>20210605</v>
      </c>
      <c r="F16" s="7">
        <v>96.2</v>
      </c>
      <c r="G16" s="7">
        <v>77.45</v>
      </c>
      <c r="H16" s="7">
        <v>84.95</v>
      </c>
      <c r="I16" s="6">
        <v>70.8</v>
      </c>
      <c r="J16" s="7">
        <f>H16*0.6+I16*0.4</f>
        <v>79.29</v>
      </c>
    </row>
    <row r="17" s="1" customFormat="1" customHeight="1" spans="1:10">
      <c r="A17" s="6">
        <v>15</v>
      </c>
      <c r="B17" s="6" t="str">
        <f>"2021101"</f>
        <v>2021101</v>
      </c>
      <c r="C17" s="6" t="s">
        <v>11</v>
      </c>
      <c r="D17" s="6" t="str">
        <f>"侯雪梅"</f>
        <v>侯雪梅</v>
      </c>
      <c r="E17" s="6" t="str">
        <f>"20210315"</f>
        <v>20210315</v>
      </c>
      <c r="F17" s="7">
        <v>96.8</v>
      </c>
      <c r="G17" s="7">
        <v>76.87</v>
      </c>
      <c r="H17" s="7">
        <v>84.84</v>
      </c>
      <c r="I17" s="6">
        <v>72.1</v>
      </c>
      <c r="J17" s="7">
        <f>H17*0.6+I17*0.4</f>
        <v>79.744</v>
      </c>
    </row>
    <row r="18" s="1" customFormat="1" customHeight="1" spans="1:10">
      <c r="A18" s="6">
        <v>16</v>
      </c>
      <c r="B18" s="6" t="str">
        <f>"2021101"</f>
        <v>2021101</v>
      </c>
      <c r="C18" s="6" t="s">
        <v>11</v>
      </c>
      <c r="D18" s="6" t="str">
        <f>"何雨蝶"</f>
        <v>何雨蝶</v>
      </c>
      <c r="E18" s="6" t="str">
        <f>"20210310"</f>
        <v>20210310</v>
      </c>
      <c r="F18" s="7">
        <v>91.5</v>
      </c>
      <c r="G18" s="7">
        <v>80.2</v>
      </c>
      <c r="H18" s="7">
        <v>84.72</v>
      </c>
      <c r="I18" s="6">
        <v>71.9</v>
      </c>
      <c r="J18" s="7">
        <f>H18*0.6+I18*0.4</f>
        <v>79.592</v>
      </c>
    </row>
    <row r="19" s="1" customFormat="1" customHeight="1" spans="1:10">
      <c r="A19" s="6">
        <v>17</v>
      </c>
      <c r="B19" s="6" t="str">
        <f>"2021101"</f>
        <v>2021101</v>
      </c>
      <c r="C19" s="6" t="s">
        <v>11</v>
      </c>
      <c r="D19" s="6" t="str">
        <f>"马博涵"</f>
        <v>马博涵</v>
      </c>
      <c r="E19" s="6" t="str">
        <f>"20210616"</f>
        <v>20210616</v>
      </c>
      <c r="F19" s="7">
        <v>92</v>
      </c>
      <c r="G19" s="7">
        <v>79.4</v>
      </c>
      <c r="H19" s="7">
        <v>84.44</v>
      </c>
      <c r="I19" s="6">
        <v>0</v>
      </c>
      <c r="J19" s="7">
        <f>H19*0.6+I19*0.4</f>
        <v>50.664</v>
      </c>
    </row>
    <row r="20" s="1" customFormat="1" customHeight="1" spans="1:10">
      <c r="A20" s="6">
        <v>18</v>
      </c>
      <c r="B20" s="6" t="str">
        <f>"2021101"</f>
        <v>2021101</v>
      </c>
      <c r="C20" s="6" t="s">
        <v>11</v>
      </c>
      <c r="D20" s="6" t="str">
        <f>"李利平"</f>
        <v>李利平</v>
      </c>
      <c r="E20" s="6" t="str">
        <f>"20210407"</f>
        <v>20210407</v>
      </c>
      <c r="F20" s="7">
        <v>91</v>
      </c>
      <c r="G20" s="7">
        <v>80.05</v>
      </c>
      <c r="H20" s="7">
        <v>84.43</v>
      </c>
      <c r="I20" s="6">
        <v>70.3</v>
      </c>
      <c r="J20" s="7">
        <f>H20*0.6+I20*0.4</f>
        <v>78.778</v>
      </c>
    </row>
    <row r="21" s="1" customFormat="1" customHeight="1" spans="1:10">
      <c r="A21" s="6">
        <v>19</v>
      </c>
      <c r="B21" s="6" t="str">
        <f>"2021101"</f>
        <v>2021101</v>
      </c>
      <c r="C21" s="6" t="s">
        <v>11</v>
      </c>
      <c r="D21" s="6" t="str">
        <f>"李静文"</f>
        <v>李静文</v>
      </c>
      <c r="E21" s="6" t="str">
        <f>"20210913"</f>
        <v>20210913</v>
      </c>
      <c r="F21" s="7">
        <v>92.2</v>
      </c>
      <c r="G21" s="7">
        <v>79.18</v>
      </c>
      <c r="H21" s="7">
        <v>84.39</v>
      </c>
      <c r="I21" s="6">
        <v>69.5</v>
      </c>
      <c r="J21" s="7">
        <f>H21*0.6+I21*0.4</f>
        <v>78.434</v>
      </c>
    </row>
    <row r="22" s="1" customFormat="1" customHeight="1" spans="1:10">
      <c r="A22" s="6">
        <v>20</v>
      </c>
      <c r="B22" s="6" t="str">
        <f>"2021101"</f>
        <v>2021101</v>
      </c>
      <c r="C22" s="6" t="s">
        <v>11</v>
      </c>
      <c r="D22" s="6" t="str">
        <f>"陆林雪"</f>
        <v>陆林雪</v>
      </c>
      <c r="E22" s="6" t="str">
        <f>"20210313"</f>
        <v>20210313</v>
      </c>
      <c r="F22" s="7">
        <v>84.4</v>
      </c>
      <c r="G22" s="7">
        <v>78.92</v>
      </c>
      <c r="H22" s="7">
        <v>81.11</v>
      </c>
      <c r="I22" s="6">
        <v>0</v>
      </c>
      <c r="J22" s="7">
        <f>H22*0.6+I22*0.4</f>
        <v>48.666</v>
      </c>
    </row>
    <row r="23" s="1" customFormat="1" customHeight="1" spans="1:10">
      <c r="A23" s="6">
        <v>21</v>
      </c>
      <c r="B23" s="6" t="str">
        <f>"2021102"</f>
        <v>2021102</v>
      </c>
      <c r="C23" s="6" t="s">
        <v>12</v>
      </c>
      <c r="D23" s="6" t="str">
        <f>"王鑫灵"</f>
        <v>王鑫灵</v>
      </c>
      <c r="E23" s="6" t="str">
        <f>"20210721"</f>
        <v>20210721</v>
      </c>
      <c r="F23" s="7">
        <v>104.1</v>
      </c>
      <c r="G23" s="7">
        <v>89.81</v>
      </c>
      <c r="H23" s="7">
        <v>95.53</v>
      </c>
      <c r="I23" s="6">
        <v>78.8</v>
      </c>
      <c r="J23" s="7">
        <f>H23*0.6+I23*0.4</f>
        <v>88.838</v>
      </c>
    </row>
    <row r="24" s="1" customFormat="1" customHeight="1" spans="1:10">
      <c r="A24" s="6">
        <v>22</v>
      </c>
      <c r="B24" s="6" t="str">
        <f>"2021102"</f>
        <v>2021102</v>
      </c>
      <c r="C24" s="6" t="s">
        <v>12</v>
      </c>
      <c r="D24" s="6" t="str">
        <f>"王雨萌"</f>
        <v>王雨萌</v>
      </c>
      <c r="E24" s="6" t="str">
        <f>"20210123"</f>
        <v>20210123</v>
      </c>
      <c r="F24" s="7">
        <v>94.7</v>
      </c>
      <c r="G24" s="7">
        <v>94.61</v>
      </c>
      <c r="H24" s="7">
        <v>94.65</v>
      </c>
      <c r="I24" s="6">
        <v>82.6</v>
      </c>
      <c r="J24" s="7">
        <f>H24*0.6+I24*0.4</f>
        <v>89.83</v>
      </c>
    </row>
    <row r="25" s="1" customFormat="1" customHeight="1" spans="1:10">
      <c r="A25" s="6">
        <v>23</v>
      </c>
      <c r="B25" s="6" t="str">
        <f>"2021102"</f>
        <v>2021102</v>
      </c>
      <c r="C25" s="6" t="s">
        <v>12</v>
      </c>
      <c r="D25" s="6" t="str">
        <f>"葛子怡"</f>
        <v>葛子怡</v>
      </c>
      <c r="E25" s="6" t="str">
        <f>"20210615"</f>
        <v>20210615</v>
      </c>
      <c r="F25" s="7">
        <v>110.6</v>
      </c>
      <c r="G25" s="7">
        <v>83.97</v>
      </c>
      <c r="H25" s="7">
        <v>94.62</v>
      </c>
      <c r="I25" s="6">
        <v>83.8</v>
      </c>
      <c r="J25" s="7">
        <f>H25*0.6+I25*0.4</f>
        <v>90.292</v>
      </c>
    </row>
    <row r="26" s="1" customFormat="1" customHeight="1" spans="1:10">
      <c r="A26" s="6">
        <v>24</v>
      </c>
      <c r="B26" s="6" t="str">
        <f>"2021102"</f>
        <v>2021102</v>
      </c>
      <c r="C26" s="6" t="s">
        <v>12</v>
      </c>
      <c r="D26" s="6" t="str">
        <f>"李淑佳"</f>
        <v>李淑佳</v>
      </c>
      <c r="E26" s="6" t="str">
        <f>"20210502"</f>
        <v>20210502</v>
      </c>
      <c r="F26" s="7">
        <v>101.9</v>
      </c>
      <c r="G26" s="7">
        <v>89.54</v>
      </c>
      <c r="H26" s="7">
        <v>94.48</v>
      </c>
      <c r="I26" s="6">
        <v>75</v>
      </c>
      <c r="J26" s="7">
        <f>H26*0.6+I26*0.4</f>
        <v>86.688</v>
      </c>
    </row>
    <row r="27" s="1" customFormat="1" customHeight="1" spans="1:10">
      <c r="A27" s="6">
        <v>25</v>
      </c>
      <c r="B27" s="6" t="str">
        <f>"2021102"</f>
        <v>2021102</v>
      </c>
      <c r="C27" s="6" t="s">
        <v>12</v>
      </c>
      <c r="D27" s="6" t="str">
        <f>"杨楠楠"</f>
        <v>杨楠楠</v>
      </c>
      <c r="E27" s="6" t="str">
        <f>"20210214"</f>
        <v>20210214</v>
      </c>
      <c r="F27" s="7">
        <v>106.1</v>
      </c>
      <c r="G27" s="7">
        <v>82.96</v>
      </c>
      <c r="H27" s="7">
        <v>92.22</v>
      </c>
      <c r="I27" s="6">
        <v>72.2</v>
      </c>
      <c r="J27" s="7">
        <f>H27*0.6+I27*0.4</f>
        <v>84.212</v>
      </c>
    </row>
    <row r="28" s="1" customFormat="1" customHeight="1" spans="1:10">
      <c r="A28" s="6">
        <v>26</v>
      </c>
      <c r="B28" s="6" t="str">
        <f>"2021102"</f>
        <v>2021102</v>
      </c>
      <c r="C28" s="6" t="s">
        <v>12</v>
      </c>
      <c r="D28" s="6" t="str">
        <f>"陈凯悦"</f>
        <v>陈凯悦</v>
      </c>
      <c r="E28" s="6" t="str">
        <f>"20211020"</f>
        <v>20211020</v>
      </c>
      <c r="F28" s="7">
        <v>103.7</v>
      </c>
      <c r="G28" s="7">
        <v>82.06</v>
      </c>
      <c r="H28" s="7">
        <v>90.72</v>
      </c>
      <c r="I28" s="6">
        <v>85.8</v>
      </c>
      <c r="J28" s="7">
        <f>H28*0.6+I28*0.4</f>
        <v>88.752</v>
      </c>
    </row>
    <row r="29" s="1" customFormat="1" customHeight="1" spans="1:10">
      <c r="A29" s="6">
        <v>27</v>
      </c>
      <c r="B29" s="6" t="str">
        <f>"2021102"</f>
        <v>2021102</v>
      </c>
      <c r="C29" s="6" t="s">
        <v>12</v>
      </c>
      <c r="D29" s="6" t="str">
        <f>"王雨情"</f>
        <v>王雨情</v>
      </c>
      <c r="E29" s="6" t="str">
        <f>"20210727"</f>
        <v>20210727</v>
      </c>
      <c r="F29" s="7">
        <v>97.4</v>
      </c>
      <c r="G29" s="7">
        <v>85.09</v>
      </c>
      <c r="H29" s="7">
        <v>90.01</v>
      </c>
      <c r="I29" s="6">
        <v>71.8</v>
      </c>
      <c r="J29" s="7">
        <f>H29*0.6+I29*0.4</f>
        <v>82.726</v>
      </c>
    </row>
    <row r="30" s="1" customFormat="1" customHeight="1" spans="1:10">
      <c r="A30" s="6">
        <v>28</v>
      </c>
      <c r="B30" s="6" t="str">
        <f>"2021102"</f>
        <v>2021102</v>
      </c>
      <c r="C30" s="6" t="s">
        <v>12</v>
      </c>
      <c r="D30" s="6" t="str">
        <f>"王琳慧"</f>
        <v>王琳慧</v>
      </c>
      <c r="E30" s="6" t="str">
        <f>"20211010"</f>
        <v>20211010</v>
      </c>
      <c r="F30" s="7">
        <v>89.2</v>
      </c>
      <c r="G30" s="7">
        <v>87.45</v>
      </c>
      <c r="H30" s="7">
        <v>88.15</v>
      </c>
      <c r="I30" s="6">
        <v>82</v>
      </c>
      <c r="J30" s="7">
        <f>H30*0.6+I30*0.4</f>
        <v>85.69</v>
      </c>
    </row>
    <row r="31" s="1" customFormat="1" customHeight="1" spans="1:10">
      <c r="A31" s="6">
        <v>29</v>
      </c>
      <c r="B31" s="6" t="str">
        <f>"2021102"</f>
        <v>2021102</v>
      </c>
      <c r="C31" s="6" t="s">
        <v>12</v>
      </c>
      <c r="D31" s="6" t="str">
        <f>"郭新"</f>
        <v>郭新</v>
      </c>
      <c r="E31" s="6" t="str">
        <f>"20210620"</f>
        <v>20210620</v>
      </c>
      <c r="F31" s="7">
        <v>101.7</v>
      </c>
      <c r="G31" s="7">
        <v>78.48</v>
      </c>
      <c r="H31" s="7">
        <v>87.77</v>
      </c>
      <c r="I31" s="6">
        <v>78.4</v>
      </c>
      <c r="J31" s="7">
        <f>H31*0.6+I31*0.4</f>
        <v>84.022</v>
      </c>
    </row>
    <row r="32" s="1" customFormat="1" customHeight="1" spans="1:10">
      <c r="A32" s="6">
        <v>30</v>
      </c>
      <c r="B32" s="6" t="str">
        <f>"2021102"</f>
        <v>2021102</v>
      </c>
      <c r="C32" s="6" t="s">
        <v>12</v>
      </c>
      <c r="D32" s="6" t="str">
        <f>"王紫晴"</f>
        <v>王紫晴</v>
      </c>
      <c r="E32" s="6" t="str">
        <f>"20210104"</f>
        <v>20210104</v>
      </c>
      <c r="F32" s="7">
        <v>96.7</v>
      </c>
      <c r="G32" s="7">
        <v>80.25</v>
      </c>
      <c r="H32" s="7">
        <v>86.83</v>
      </c>
      <c r="I32" s="6">
        <v>69.6</v>
      </c>
      <c r="J32" s="7">
        <f>H32*0.6+I32*0.4</f>
        <v>79.938</v>
      </c>
    </row>
    <row r="33" s="1" customFormat="1" customHeight="1" spans="1:10">
      <c r="A33" s="6">
        <v>31</v>
      </c>
      <c r="B33" s="6" t="str">
        <f>"2021102"</f>
        <v>2021102</v>
      </c>
      <c r="C33" s="6" t="s">
        <v>12</v>
      </c>
      <c r="D33" s="6" t="str">
        <f>"李慧子"</f>
        <v>李慧子</v>
      </c>
      <c r="E33" s="6" t="str">
        <f>"20210124"</f>
        <v>20210124</v>
      </c>
      <c r="F33" s="7">
        <v>101.3</v>
      </c>
      <c r="G33" s="7">
        <v>76.58</v>
      </c>
      <c r="H33" s="7">
        <v>86.47</v>
      </c>
      <c r="I33" s="6">
        <v>78</v>
      </c>
      <c r="J33" s="7">
        <f>H33*0.6+I33*0.4</f>
        <v>83.082</v>
      </c>
    </row>
    <row r="34" s="1" customFormat="1" customHeight="1" spans="1:10">
      <c r="A34" s="6">
        <v>32</v>
      </c>
      <c r="B34" s="6" t="str">
        <f>"2021102"</f>
        <v>2021102</v>
      </c>
      <c r="C34" s="6" t="s">
        <v>12</v>
      </c>
      <c r="D34" s="6" t="str">
        <f>"李芮芮"</f>
        <v>李芮芮</v>
      </c>
      <c r="E34" s="6" t="str">
        <f>"20210607"</f>
        <v>20210607</v>
      </c>
      <c r="F34" s="7">
        <v>84.3</v>
      </c>
      <c r="G34" s="7">
        <v>87.32</v>
      </c>
      <c r="H34" s="7">
        <v>86.11</v>
      </c>
      <c r="I34" s="6">
        <v>73.5</v>
      </c>
      <c r="J34" s="7">
        <f>H34*0.6+I34*0.4</f>
        <v>81.066</v>
      </c>
    </row>
    <row r="35" s="1" customFormat="1" customHeight="1" spans="1:10">
      <c r="A35" s="6">
        <v>33</v>
      </c>
      <c r="B35" s="6" t="str">
        <f>"2021102"</f>
        <v>2021102</v>
      </c>
      <c r="C35" s="6" t="s">
        <v>12</v>
      </c>
      <c r="D35" s="6" t="str">
        <f>"方梦婷"</f>
        <v>方梦婷</v>
      </c>
      <c r="E35" s="6" t="str">
        <f>"20210202"</f>
        <v>20210202</v>
      </c>
      <c r="F35" s="7">
        <v>98.2</v>
      </c>
      <c r="G35" s="7">
        <v>76.23</v>
      </c>
      <c r="H35" s="7">
        <v>85.02</v>
      </c>
      <c r="I35" s="6">
        <v>80.6</v>
      </c>
      <c r="J35" s="7">
        <f>H35*0.6+I35*0.4</f>
        <v>83.252</v>
      </c>
    </row>
    <row r="36" s="1" customFormat="1" customHeight="1" spans="1:10">
      <c r="A36" s="6">
        <v>34</v>
      </c>
      <c r="B36" s="6" t="str">
        <f>"2021102"</f>
        <v>2021102</v>
      </c>
      <c r="C36" s="6" t="s">
        <v>12</v>
      </c>
      <c r="D36" s="6" t="str">
        <f>"邵琼"</f>
        <v>邵琼</v>
      </c>
      <c r="E36" s="6" t="str">
        <f>"20210105"</f>
        <v>20210105</v>
      </c>
      <c r="F36" s="7">
        <v>93.4</v>
      </c>
      <c r="G36" s="7">
        <v>77.03</v>
      </c>
      <c r="H36" s="7">
        <v>83.58</v>
      </c>
      <c r="I36" s="6">
        <v>0</v>
      </c>
      <c r="J36" s="7">
        <f>H36*0.6+I36*0.4</f>
        <v>50.148</v>
      </c>
    </row>
    <row r="37" s="1" customFormat="1" customHeight="1" spans="1:10">
      <c r="A37" s="6">
        <v>35</v>
      </c>
      <c r="B37" s="6" t="str">
        <f>"2021102"</f>
        <v>2021102</v>
      </c>
      <c r="C37" s="6" t="s">
        <v>12</v>
      </c>
      <c r="D37" s="6" t="str">
        <f>"任馨铭"</f>
        <v>任馨铭</v>
      </c>
      <c r="E37" s="6" t="str">
        <f>"20210823"</f>
        <v>20210823</v>
      </c>
      <c r="F37" s="7">
        <v>94</v>
      </c>
      <c r="G37" s="7">
        <v>76.17</v>
      </c>
      <c r="H37" s="7">
        <v>83.3</v>
      </c>
      <c r="I37" s="6">
        <v>78.2</v>
      </c>
      <c r="J37" s="7">
        <f>H37*0.6+I37*0.4</f>
        <v>81.26</v>
      </c>
    </row>
    <row r="38" s="1" customFormat="1" customHeight="1" spans="1:10">
      <c r="A38" s="6">
        <v>36</v>
      </c>
      <c r="B38" s="6" t="str">
        <f>"2021102"</f>
        <v>2021102</v>
      </c>
      <c r="C38" s="6" t="s">
        <v>12</v>
      </c>
      <c r="D38" s="6" t="str">
        <f>"齐颖"</f>
        <v>齐颖</v>
      </c>
      <c r="E38" s="6" t="str">
        <f>"20210229"</f>
        <v>20210229</v>
      </c>
      <c r="F38" s="7">
        <v>92.3</v>
      </c>
      <c r="G38" s="7">
        <v>76.01</v>
      </c>
      <c r="H38" s="7">
        <v>82.53</v>
      </c>
      <c r="I38" s="6">
        <v>0</v>
      </c>
      <c r="J38" s="7">
        <f>H38*0.6+I38*0.4</f>
        <v>49.518</v>
      </c>
    </row>
    <row r="39" s="1" customFormat="1" customHeight="1" spans="1:10">
      <c r="A39" s="6">
        <v>37</v>
      </c>
      <c r="B39" s="6" t="str">
        <f>"2021102"</f>
        <v>2021102</v>
      </c>
      <c r="C39" s="6" t="s">
        <v>12</v>
      </c>
      <c r="D39" s="6" t="str">
        <f>"董清华"</f>
        <v>董清华</v>
      </c>
      <c r="E39" s="6" t="str">
        <f>"20210518"</f>
        <v>20210518</v>
      </c>
      <c r="F39" s="7">
        <v>89.6</v>
      </c>
      <c r="G39" s="7">
        <v>74.98</v>
      </c>
      <c r="H39" s="7">
        <v>80.83</v>
      </c>
      <c r="I39" s="6">
        <v>46.2</v>
      </c>
      <c r="J39" s="7">
        <f>H39*0.6+I39*0.4</f>
        <v>66.978</v>
      </c>
    </row>
    <row r="40" s="1" customFormat="1" customHeight="1" spans="1:10">
      <c r="A40" s="6">
        <v>38</v>
      </c>
      <c r="B40" s="6" t="str">
        <f>"2021102"</f>
        <v>2021102</v>
      </c>
      <c r="C40" s="6" t="s">
        <v>12</v>
      </c>
      <c r="D40" s="6" t="str">
        <f>"刘慧慧"</f>
        <v>刘慧慧</v>
      </c>
      <c r="E40" s="6" t="str">
        <f>"20211026"</f>
        <v>20211026</v>
      </c>
      <c r="F40" s="7">
        <v>88.9</v>
      </c>
      <c r="G40" s="7">
        <v>74.43</v>
      </c>
      <c r="H40" s="7">
        <v>80.22</v>
      </c>
      <c r="I40" s="6">
        <v>76.6</v>
      </c>
      <c r="J40" s="7">
        <f>H40*0.6+I40*0.4</f>
        <v>78.772</v>
      </c>
    </row>
    <row r="41" s="1" customFormat="1" customHeight="1" spans="1:10">
      <c r="A41" s="6">
        <v>39</v>
      </c>
      <c r="B41" s="6" t="str">
        <f>"2021102"</f>
        <v>2021102</v>
      </c>
      <c r="C41" s="6" t="s">
        <v>12</v>
      </c>
      <c r="D41" s="6" t="str">
        <f>"王静"</f>
        <v>王静</v>
      </c>
      <c r="E41" s="6" t="str">
        <f>"20210829"</f>
        <v>20210829</v>
      </c>
      <c r="F41" s="7">
        <v>80.5</v>
      </c>
      <c r="G41" s="7">
        <v>78.69</v>
      </c>
      <c r="H41" s="7">
        <v>79.41</v>
      </c>
      <c r="I41" s="6">
        <v>73.5</v>
      </c>
      <c r="J41" s="7">
        <f>H41*0.6+I41*0.4</f>
        <v>77.046</v>
      </c>
    </row>
    <row r="42" s="1" customFormat="1" customHeight="1" spans="1:10">
      <c r="A42" s="6">
        <v>40</v>
      </c>
      <c r="B42" s="6" t="str">
        <f>"2021102"</f>
        <v>2021102</v>
      </c>
      <c r="C42" s="6" t="s">
        <v>12</v>
      </c>
      <c r="D42" s="6" t="str">
        <f>"马梦雪"</f>
        <v>马梦雪</v>
      </c>
      <c r="E42" s="6" t="str">
        <f>"20210622"</f>
        <v>20210622</v>
      </c>
      <c r="F42" s="7">
        <v>75.1</v>
      </c>
      <c r="G42" s="7">
        <v>80.01</v>
      </c>
      <c r="H42" s="7">
        <v>78.05</v>
      </c>
      <c r="I42" s="6">
        <v>70.3</v>
      </c>
      <c r="J42" s="7">
        <f>H42*0.6+I42*0.4</f>
        <v>74.95</v>
      </c>
    </row>
    <row r="43" s="1" customFormat="1" customHeight="1" spans="1:10">
      <c r="A43" s="6">
        <v>41</v>
      </c>
      <c r="B43" s="6" t="str">
        <f>"2021103"</f>
        <v>2021103</v>
      </c>
      <c r="C43" s="6" t="s">
        <v>13</v>
      </c>
      <c r="D43" s="6" t="str">
        <f>"徐宁雪"</f>
        <v>徐宁雪</v>
      </c>
      <c r="E43" s="6" t="str">
        <f>"20210219"</f>
        <v>20210219</v>
      </c>
      <c r="F43" s="7">
        <v>111.5</v>
      </c>
      <c r="G43" s="7">
        <v>92.64</v>
      </c>
      <c r="H43" s="7">
        <v>100.18</v>
      </c>
      <c r="I43" s="6">
        <v>76.56</v>
      </c>
      <c r="J43" s="7">
        <f>H43*0.6+I43*0.4</f>
        <v>90.732</v>
      </c>
    </row>
    <row r="44" s="1" customFormat="1" customHeight="1" spans="1:10">
      <c r="A44" s="6">
        <v>42</v>
      </c>
      <c r="B44" s="6" t="str">
        <f>"2021103"</f>
        <v>2021103</v>
      </c>
      <c r="C44" s="6" t="s">
        <v>13</v>
      </c>
      <c r="D44" s="6" t="str">
        <f>"朱邵琪"</f>
        <v>朱邵琪</v>
      </c>
      <c r="E44" s="6" t="str">
        <f>"20210113"</f>
        <v>20210113</v>
      </c>
      <c r="F44" s="7">
        <v>102.1</v>
      </c>
      <c r="G44" s="7">
        <v>92.14</v>
      </c>
      <c r="H44" s="7">
        <v>96.12</v>
      </c>
      <c r="I44" s="6">
        <v>73.34</v>
      </c>
      <c r="J44" s="7">
        <f>H44*0.6+I44*0.4</f>
        <v>87.008</v>
      </c>
    </row>
    <row r="45" s="1" customFormat="1" customHeight="1" spans="1:10">
      <c r="A45" s="6">
        <v>43</v>
      </c>
      <c r="B45" s="6" t="str">
        <f>"2021103"</f>
        <v>2021103</v>
      </c>
      <c r="C45" s="6" t="s">
        <v>13</v>
      </c>
      <c r="D45" s="6" t="str">
        <f>"任微微"</f>
        <v>任微微</v>
      </c>
      <c r="E45" s="6" t="str">
        <f>"20210225"</f>
        <v>20210225</v>
      </c>
      <c r="F45" s="7">
        <v>105.9</v>
      </c>
      <c r="G45" s="7">
        <v>87.21</v>
      </c>
      <c r="H45" s="7">
        <v>94.69</v>
      </c>
      <c r="I45" s="6">
        <v>75.18</v>
      </c>
      <c r="J45" s="7">
        <f>H45*0.6+I45*0.4</f>
        <v>86.886</v>
      </c>
    </row>
    <row r="46" s="1" customFormat="1" customHeight="1" spans="1:10">
      <c r="A46" s="6">
        <v>44</v>
      </c>
      <c r="B46" s="6" t="str">
        <f>"2021103"</f>
        <v>2021103</v>
      </c>
      <c r="C46" s="6" t="s">
        <v>13</v>
      </c>
      <c r="D46" s="6" t="str">
        <f>"夏萍"</f>
        <v>夏萍</v>
      </c>
      <c r="E46" s="6" t="str">
        <f>"20210815"</f>
        <v>20210815</v>
      </c>
      <c r="F46" s="7">
        <v>106.3</v>
      </c>
      <c r="G46" s="7">
        <v>85.29</v>
      </c>
      <c r="H46" s="7">
        <v>93.69</v>
      </c>
      <c r="I46" s="6">
        <v>70.64</v>
      </c>
      <c r="J46" s="7">
        <f>H46*0.6+I46*0.4</f>
        <v>84.47</v>
      </c>
    </row>
    <row r="47" s="1" customFormat="1" customHeight="1" spans="1:10">
      <c r="A47" s="6">
        <v>45</v>
      </c>
      <c r="B47" s="6" t="str">
        <f>"2021103"</f>
        <v>2021103</v>
      </c>
      <c r="C47" s="6" t="s">
        <v>13</v>
      </c>
      <c r="D47" s="6" t="str">
        <f>"李精精"</f>
        <v>李精精</v>
      </c>
      <c r="E47" s="6" t="str">
        <f>"20211101"</f>
        <v>20211101</v>
      </c>
      <c r="F47" s="7">
        <v>98.2</v>
      </c>
      <c r="G47" s="7">
        <v>88.74</v>
      </c>
      <c r="H47" s="7">
        <v>92.52</v>
      </c>
      <c r="I47" s="6">
        <v>75.26</v>
      </c>
      <c r="J47" s="7">
        <f>H47*0.6+I47*0.4</f>
        <v>85.616</v>
      </c>
    </row>
    <row r="48" s="1" customFormat="1" customHeight="1" spans="1:10">
      <c r="A48" s="6">
        <v>46</v>
      </c>
      <c r="B48" s="6" t="str">
        <f>"2021103"</f>
        <v>2021103</v>
      </c>
      <c r="C48" s="6" t="s">
        <v>13</v>
      </c>
      <c r="D48" s="6" t="str">
        <f>"冯晓娟"</f>
        <v>冯晓娟</v>
      </c>
      <c r="E48" s="6" t="str">
        <f>"20210816"</f>
        <v>20210816</v>
      </c>
      <c r="F48" s="7">
        <v>95.1</v>
      </c>
      <c r="G48" s="7">
        <v>88.96</v>
      </c>
      <c r="H48" s="7">
        <v>91.42</v>
      </c>
      <c r="I48" s="6">
        <v>75.44</v>
      </c>
      <c r="J48" s="7">
        <f>H48*0.6+I48*0.4</f>
        <v>85.028</v>
      </c>
    </row>
    <row r="49" s="1" customFormat="1" customHeight="1" spans="1:10">
      <c r="A49" s="6">
        <v>47</v>
      </c>
      <c r="B49" s="6" t="str">
        <f>"2021103"</f>
        <v>2021103</v>
      </c>
      <c r="C49" s="6" t="s">
        <v>13</v>
      </c>
      <c r="D49" s="6" t="str">
        <f>"王丽"</f>
        <v>王丽</v>
      </c>
      <c r="E49" s="6" t="str">
        <f>"20210608"</f>
        <v>20210608</v>
      </c>
      <c r="F49" s="7">
        <v>102.9</v>
      </c>
      <c r="G49" s="7">
        <v>82.42</v>
      </c>
      <c r="H49" s="7">
        <v>90.61</v>
      </c>
      <c r="I49" s="6">
        <v>71.98</v>
      </c>
      <c r="J49" s="7">
        <f>H49*0.6+I49*0.4</f>
        <v>83.158</v>
      </c>
    </row>
    <row r="50" s="1" customFormat="1" customHeight="1" spans="1:10">
      <c r="A50" s="6">
        <v>48</v>
      </c>
      <c r="B50" s="6" t="str">
        <f>"2021103"</f>
        <v>2021103</v>
      </c>
      <c r="C50" s="6" t="s">
        <v>13</v>
      </c>
      <c r="D50" s="6" t="str">
        <f>"陆改改"</f>
        <v>陆改改</v>
      </c>
      <c r="E50" s="6" t="str">
        <f>"20210626"</f>
        <v>20210626</v>
      </c>
      <c r="F50" s="7">
        <v>101.8</v>
      </c>
      <c r="G50" s="7">
        <v>82.05</v>
      </c>
      <c r="H50" s="7">
        <v>89.95</v>
      </c>
      <c r="I50" s="6">
        <v>79.04</v>
      </c>
      <c r="J50" s="7">
        <f>H50*0.6+I50*0.4</f>
        <v>85.586</v>
      </c>
    </row>
    <row r="51" s="1" customFormat="1" customHeight="1" spans="1:10">
      <c r="A51" s="6">
        <v>49</v>
      </c>
      <c r="B51" s="6" t="str">
        <f>"2021103"</f>
        <v>2021103</v>
      </c>
      <c r="C51" s="6" t="s">
        <v>13</v>
      </c>
      <c r="D51" s="6" t="str">
        <f>"王露露"</f>
        <v>王露露</v>
      </c>
      <c r="E51" s="6" t="str">
        <f>"20210325"</f>
        <v>20210325</v>
      </c>
      <c r="F51" s="7">
        <v>93</v>
      </c>
      <c r="G51" s="7">
        <v>86.63</v>
      </c>
      <c r="H51" s="7">
        <v>89.18</v>
      </c>
      <c r="I51" s="6">
        <v>81.82</v>
      </c>
      <c r="J51" s="7">
        <f>H51*0.6+I51*0.4</f>
        <v>86.236</v>
      </c>
    </row>
    <row r="52" s="1" customFormat="1" customHeight="1" spans="1:10">
      <c r="A52" s="6">
        <v>50</v>
      </c>
      <c r="B52" s="6" t="str">
        <f>"2021103"</f>
        <v>2021103</v>
      </c>
      <c r="C52" s="6" t="s">
        <v>13</v>
      </c>
      <c r="D52" s="6" t="str">
        <f>"张肖肖"</f>
        <v>张肖肖</v>
      </c>
      <c r="E52" s="6" t="str">
        <f>"20210906"</f>
        <v>20210906</v>
      </c>
      <c r="F52" s="7">
        <v>97.3</v>
      </c>
      <c r="G52" s="7">
        <v>83.74</v>
      </c>
      <c r="H52" s="7">
        <v>89.16</v>
      </c>
      <c r="I52" s="6">
        <v>73.84</v>
      </c>
      <c r="J52" s="7">
        <f>H52*0.6+I52*0.4</f>
        <v>83.032</v>
      </c>
    </row>
    <row r="53" s="1" customFormat="1" customHeight="1" spans="1:10">
      <c r="A53" s="6">
        <v>51</v>
      </c>
      <c r="B53" s="6" t="str">
        <f>"2021103"</f>
        <v>2021103</v>
      </c>
      <c r="C53" s="6" t="s">
        <v>13</v>
      </c>
      <c r="D53" s="6" t="str">
        <f>"潘娟娟"</f>
        <v>潘娟娟</v>
      </c>
      <c r="E53" s="6" t="str">
        <f>"20210515"</f>
        <v>20210515</v>
      </c>
      <c r="F53" s="7">
        <v>103.7</v>
      </c>
      <c r="G53" s="7">
        <v>79.45</v>
      </c>
      <c r="H53" s="7">
        <v>89.15</v>
      </c>
      <c r="I53" s="6">
        <v>0</v>
      </c>
      <c r="J53" s="7">
        <f>H53*0.6+I53*0.4</f>
        <v>53.49</v>
      </c>
    </row>
    <row r="54" s="1" customFormat="1" customHeight="1" spans="1:10">
      <c r="A54" s="6">
        <v>52</v>
      </c>
      <c r="B54" s="6" t="str">
        <f>"2021103"</f>
        <v>2021103</v>
      </c>
      <c r="C54" s="6" t="s">
        <v>13</v>
      </c>
      <c r="D54" s="6" t="str">
        <f>"刘倩倩"</f>
        <v>刘倩倩</v>
      </c>
      <c r="E54" s="6" t="str">
        <f>"20210110"</f>
        <v>20210110</v>
      </c>
      <c r="F54" s="7">
        <v>97.6</v>
      </c>
      <c r="G54" s="7">
        <v>83.29</v>
      </c>
      <c r="H54" s="7">
        <v>89.01</v>
      </c>
      <c r="I54" s="6">
        <v>82.6</v>
      </c>
      <c r="J54" s="7">
        <f>H54*0.6+I54*0.4</f>
        <v>86.446</v>
      </c>
    </row>
    <row r="55" s="1" customFormat="1" customHeight="1" spans="1:10">
      <c r="A55" s="6">
        <v>53</v>
      </c>
      <c r="B55" s="6" t="str">
        <f>"2021103"</f>
        <v>2021103</v>
      </c>
      <c r="C55" s="6" t="s">
        <v>13</v>
      </c>
      <c r="D55" s="6" t="str">
        <f>"陆晓宇"</f>
        <v>陆晓宇</v>
      </c>
      <c r="E55" s="6" t="str">
        <f>"20210103"</f>
        <v>20210103</v>
      </c>
      <c r="F55" s="7">
        <v>92.5</v>
      </c>
      <c r="G55" s="7">
        <v>84.51</v>
      </c>
      <c r="H55" s="7">
        <v>87.71</v>
      </c>
      <c r="I55" s="6">
        <v>79.68</v>
      </c>
      <c r="J55" s="7">
        <f>H55*0.6+I55*0.4</f>
        <v>84.498</v>
      </c>
    </row>
    <row r="56" s="1" customFormat="1" customHeight="1" spans="1:10">
      <c r="A56" s="6">
        <v>54</v>
      </c>
      <c r="B56" s="6" t="str">
        <f>"2021103"</f>
        <v>2021103</v>
      </c>
      <c r="C56" s="6" t="s">
        <v>13</v>
      </c>
      <c r="D56" s="6" t="str">
        <f>"李雯雯"</f>
        <v>李雯雯</v>
      </c>
      <c r="E56" s="6" t="str">
        <f>"20210203"</f>
        <v>20210203</v>
      </c>
      <c r="F56" s="7">
        <v>89.6</v>
      </c>
      <c r="G56" s="7">
        <v>83.4</v>
      </c>
      <c r="H56" s="7">
        <v>85.88</v>
      </c>
      <c r="I56" s="6">
        <v>78.16</v>
      </c>
      <c r="J56" s="7">
        <f>H56*0.6+I56*0.4</f>
        <v>82.792</v>
      </c>
    </row>
    <row r="57" s="1" customFormat="1" customHeight="1" spans="1:10">
      <c r="A57" s="6">
        <v>55</v>
      </c>
      <c r="B57" s="6" t="str">
        <f>"2021103"</f>
        <v>2021103</v>
      </c>
      <c r="C57" s="6" t="s">
        <v>13</v>
      </c>
      <c r="D57" s="6" t="str">
        <f>"李雪婷"</f>
        <v>李雪婷</v>
      </c>
      <c r="E57" s="6" t="str">
        <f>"20210627"</f>
        <v>20210627</v>
      </c>
      <c r="F57" s="7">
        <v>89.1</v>
      </c>
      <c r="G57" s="7">
        <v>82.58</v>
      </c>
      <c r="H57" s="7">
        <v>85.19</v>
      </c>
      <c r="I57" s="6">
        <v>84.66</v>
      </c>
      <c r="J57" s="7">
        <f>H57*0.6+I57*0.4</f>
        <v>84.978</v>
      </c>
    </row>
    <row r="58" s="1" customFormat="1" customHeight="1" spans="1:10">
      <c r="A58" s="6">
        <v>56</v>
      </c>
      <c r="B58" s="6" t="str">
        <f>"2021103"</f>
        <v>2021103</v>
      </c>
      <c r="C58" s="6" t="s">
        <v>13</v>
      </c>
      <c r="D58" s="6" t="str">
        <f>"孙雅鑫"</f>
        <v>孙雅鑫</v>
      </c>
      <c r="E58" s="6" t="str">
        <f>"20210629"</f>
        <v>20210629</v>
      </c>
      <c r="F58" s="7">
        <v>88.1</v>
      </c>
      <c r="G58" s="7">
        <v>82.13</v>
      </c>
      <c r="H58" s="7">
        <v>84.52</v>
      </c>
      <c r="I58" s="6">
        <v>76.84</v>
      </c>
      <c r="J58" s="7">
        <f>H58*0.6+I58*0.4</f>
        <v>81.448</v>
      </c>
    </row>
    <row r="59" s="1" customFormat="1" customHeight="1" spans="1:10">
      <c r="A59" s="6">
        <v>57</v>
      </c>
      <c r="B59" s="6" t="str">
        <f>"2021103"</f>
        <v>2021103</v>
      </c>
      <c r="C59" s="6" t="s">
        <v>13</v>
      </c>
      <c r="D59" s="6" t="str">
        <f>"刘慧"</f>
        <v>刘慧</v>
      </c>
      <c r="E59" s="6" t="str">
        <f>"20210230"</f>
        <v>20210230</v>
      </c>
      <c r="F59" s="7">
        <v>95.7</v>
      </c>
      <c r="G59" s="7">
        <v>76.6</v>
      </c>
      <c r="H59" s="7">
        <v>84.24</v>
      </c>
      <c r="I59" s="6">
        <v>81.84</v>
      </c>
      <c r="J59" s="7">
        <f>H59*0.6+I59*0.4</f>
        <v>83.28</v>
      </c>
    </row>
    <row r="60" s="1" customFormat="1" customHeight="1" spans="1:10">
      <c r="A60" s="6">
        <v>58</v>
      </c>
      <c r="B60" s="6" t="str">
        <f>"2021103"</f>
        <v>2021103</v>
      </c>
      <c r="C60" s="6" t="s">
        <v>13</v>
      </c>
      <c r="D60" s="6" t="str">
        <f>"祝佳佳"</f>
        <v>祝佳佳</v>
      </c>
      <c r="E60" s="6" t="str">
        <f>"20210915"</f>
        <v>20210915</v>
      </c>
      <c r="F60" s="7">
        <v>99.6</v>
      </c>
      <c r="G60" s="7">
        <v>71.45</v>
      </c>
      <c r="H60" s="7">
        <v>82.71</v>
      </c>
      <c r="I60" s="6">
        <v>75.82</v>
      </c>
      <c r="J60" s="7">
        <f>H60*0.6+I60*0.4</f>
        <v>79.954</v>
      </c>
    </row>
    <row r="61" s="1" customFormat="1" customHeight="1" spans="1:10">
      <c r="A61" s="6">
        <v>59</v>
      </c>
      <c r="B61" s="6" t="str">
        <f>"2021103"</f>
        <v>2021103</v>
      </c>
      <c r="C61" s="6" t="s">
        <v>13</v>
      </c>
      <c r="D61" s="6" t="str">
        <f>"董洁"</f>
        <v>董洁</v>
      </c>
      <c r="E61" s="6" t="str">
        <f>"20210612"</f>
        <v>20210612</v>
      </c>
      <c r="F61" s="7">
        <v>95.7</v>
      </c>
      <c r="G61" s="7">
        <v>73.9</v>
      </c>
      <c r="H61" s="7">
        <v>82.62</v>
      </c>
      <c r="I61" s="6">
        <v>81.2</v>
      </c>
      <c r="J61" s="7">
        <f>H61*0.6+I61*0.4</f>
        <v>82.052</v>
      </c>
    </row>
    <row r="62" s="1" customFormat="1" customHeight="1" spans="1:10">
      <c r="A62" s="6">
        <v>60</v>
      </c>
      <c r="B62" s="6" t="str">
        <f>"2021103"</f>
        <v>2021103</v>
      </c>
      <c r="C62" s="6" t="s">
        <v>13</v>
      </c>
      <c r="D62" s="6" t="str">
        <f>"于晓静"</f>
        <v>于晓静</v>
      </c>
      <c r="E62" s="6" t="str">
        <f>"20210309"</f>
        <v>20210309</v>
      </c>
      <c r="F62" s="7">
        <v>89.8</v>
      </c>
      <c r="G62" s="7">
        <v>75.98</v>
      </c>
      <c r="H62" s="7">
        <v>81.51</v>
      </c>
      <c r="I62" s="6">
        <v>69.34</v>
      </c>
      <c r="J62" s="7">
        <f>H62*0.6+I62*0.4</f>
        <v>76.642</v>
      </c>
    </row>
    <row r="63" s="1" customFormat="1" customHeight="1" spans="1:10">
      <c r="A63" s="6">
        <v>61</v>
      </c>
      <c r="B63" s="6" t="str">
        <f>"2021103"</f>
        <v>2021103</v>
      </c>
      <c r="C63" s="6" t="s">
        <v>13</v>
      </c>
      <c r="D63" s="6" t="str">
        <f>"许晴"</f>
        <v>许晴</v>
      </c>
      <c r="E63" s="6" t="str">
        <f>"20210810"</f>
        <v>20210810</v>
      </c>
      <c r="F63" s="7">
        <v>82.8</v>
      </c>
      <c r="G63" s="7">
        <v>78.23</v>
      </c>
      <c r="H63" s="7">
        <v>80.06</v>
      </c>
      <c r="I63" s="6">
        <v>0</v>
      </c>
      <c r="J63" s="7">
        <f>H63*0.6+I63*0.4</f>
        <v>48.036</v>
      </c>
    </row>
    <row r="64" s="1" customFormat="1" customHeight="1" spans="1:10">
      <c r="A64" s="6">
        <v>62</v>
      </c>
      <c r="B64" s="6" t="str">
        <f>"2021103"</f>
        <v>2021103</v>
      </c>
      <c r="C64" s="6" t="s">
        <v>13</v>
      </c>
      <c r="D64" s="6" t="str">
        <f>"张静"</f>
        <v>张静</v>
      </c>
      <c r="E64" s="6" t="str">
        <f>"20210223"</f>
        <v>20210223</v>
      </c>
      <c r="F64" s="7">
        <v>91.7</v>
      </c>
      <c r="G64" s="7">
        <v>70.66</v>
      </c>
      <c r="H64" s="7">
        <v>79.08</v>
      </c>
      <c r="I64" s="6">
        <v>0</v>
      </c>
      <c r="J64" s="7">
        <f>H64*0.6+I64*0.4</f>
        <v>47.448</v>
      </c>
    </row>
    <row r="65" s="1" customFormat="1" customHeight="1" spans="1:10">
      <c r="A65" s="6">
        <v>63</v>
      </c>
      <c r="B65" s="6" t="str">
        <f>"2021103"</f>
        <v>2021103</v>
      </c>
      <c r="C65" s="6" t="s">
        <v>13</v>
      </c>
      <c r="D65" s="6" t="str">
        <f>"王绘"</f>
        <v>王绘</v>
      </c>
      <c r="E65" s="6" t="str">
        <f>"20210529"</f>
        <v>20210529</v>
      </c>
      <c r="F65" s="7">
        <v>96</v>
      </c>
      <c r="G65" s="7">
        <v>67.01</v>
      </c>
      <c r="H65" s="7">
        <v>78.61</v>
      </c>
      <c r="I65" s="6">
        <v>62.58</v>
      </c>
      <c r="J65" s="7">
        <f>H65*0.6+I65*0.4</f>
        <v>72.198</v>
      </c>
    </row>
    <row r="66" s="1" customFormat="1" customHeight="1" spans="1:10">
      <c r="A66" s="6">
        <v>64</v>
      </c>
      <c r="B66" s="6" t="str">
        <f>"2021103"</f>
        <v>2021103</v>
      </c>
      <c r="C66" s="6" t="s">
        <v>13</v>
      </c>
      <c r="D66" s="6" t="str">
        <f>"张梦娟"</f>
        <v>张梦娟</v>
      </c>
      <c r="E66" s="6" t="str">
        <f>"20210306"</f>
        <v>20210306</v>
      </c>
      <c r="F66" s="7">
        <v>82</v>
      </c>
      <c r="G66" s="7">
        <v>74.69</v>
      </c>
      <c r="H66" s="7">
        <v>77.61</v>
      </c>
      <c r="I66" s="6">
        <v>0</v>
      </c>
      <c r="J66" s="7">
        <f>H66*0.6+I66*0.4</f>
        <v>46.566</v>
      </c>
    </row>
    <row r="67" s="1" customFormat="1" customHeight="1" spans="1:10">
      <c r="A67" s="6">
        <v>65</v>
      </c>
      <c r="B67" s="6" t="str">
        <f>"2021104"</f>
        <v>2021104</v>
      </c>
      <c r="C67" s="6" t="s">
        <v>14</v>
      </c>
      <c r="D67" s="6" t="str">
        <f>"程嘉慧"</f>
        <v>程嘉慧</v>
      </c>
      <c r="E67" s="6" t="str">
        <f>"20211116"</f>
        <v>20211116</v>
      </c>
      <c r="F67" s="7">
        <v>107.5</v>
      </c>
      <c r="G67" s="7">
        <v>84.06</v>
      </c>
      <c r="H67" s="7">
        <v>93.44</v>
      </c>
      <c r="I67" s="6">
        <v>77.44</v>
      </c>
      <c r="J67" s="7">
        <f>H67*0.6+I67*0.4</f>
        <v>87.04</v>
      </c>
    </row>
    <row r="68" s="1" customFormat="1" customHeight="1" spans="1:10">
      <c r="A68" s="6">
        <v>66</v>
      </c>
      <c r="B68" s="6" t="str">
        <f>"2021104"</f>
        <v>2021104</v>
      </c>
      <c r="C68" s="6" t="s">
        <v>14</v>
      </c>
      <c r="D68" s="6" t="str">
        <f>"韩冬梅"</f>
        <v>韩冬梅</v>
      </c>
      <c r="E68" s="6" t="str">
        <f>"20210424"</f>
        <v>20210424</v>
      </c>
      <c r="F68" s="7">
        <v>99.2</v>
      </c>
      <c r="G68" s="7">
        <v>88.77</v>
      </c>
      <c r="H68" s="7">
        <v>92.94</v>
      </c>
      <c r="I68" s="6">
        <v>84.72</v>
      </c>
      <c r="J68" s="7">
        <f>H68*0.6+I68*0.4</f>
        <v>89.652</v>
      </c>
    </row>
    <row r="69" s="1" customFormat="1" customHeight="1" spans="1:10">
      <c r="A69" s="6">
        <v>67</v>
      </c>
      <c r="B69" s="6" t="str">
        <f>"2021104"</f>
        <v>2021104</v>
      </c>
      <c r="C69" s="6" t="s">
        <v>14</v>
      </c>
      <c r="D69" s="6" t="str">
        <f>"毛皎皎"</f>
        <v>毛皎皎</v>
      </c>
      <c r="E69" s="6" t="str">
        <f>"20210618"</f>
        <v>20210618</v>
      </c>
      <c r="F69" s="7">
        <v>101.6</v>
      </c>
      <c r="G69" s="7">
        <v>86.24</v>
      </c>
      <c r="H69" s="7">
        <v>92.38</v>
      </c>
      <c r="I69" s="6">
        <v>77.08</v>
      </c>
      <c r="J69" s="7">
        <f>H69*0.6+I69*0.4</f>
        <v>86.26</v>
      </c>
    </row>
    <row r="70" s="1" customFormat="1" customHeight="1" spans="1:10">
      <c r="A70" s="6">
        <v>68</v>
      </c>
      <c r="B70" s="6" t="str">
        <f>"2021104"</f>
        <v>2021104</v>
      </c>
      <c r="C70" s="6" t="s">
        <v>14</v>
      </c>
      <c r="D70" s="6" t="str">
        <f>"巩凤"</f>
        <v>巩凤</v>
      </c>
      <c r="E70" s="6" t="str">
        <f>"20210429"</f>
        <v>20210429</v>
      </c>
      <c r="F70" s="7">
        <v>104.8</v>
      </c>
      <c r="G70" s="7">
        <v>82.84</v>
      </c>
      <c r="H70" s="7">
        <v>91.62</v>
      </c>
      <c r="I70" s="6">
        <v>79.5</v>
      </c>
      <c r="J70" s="7">
        <f>H70*0.6+I70*0.4</f>
        <v>86.772</v>
      </c>
    </row>
    <row r="71" s="1" customFormat="1" customHeight="1" spans="1:10">
      <c r="A71" s="6">
        <v>69</v>
      </c>
      <c r="B71" s="6" t="str">
        <f>"2021104"</f>
        <v>2021104</v>
      </c>
      <c r="C71" s="6" t="s">
        <v>14</v>
      </c>
      <c r="D71" s="6" t="str">
        <f>"范梦情"</f>
        <v>范梦情</v>
      </c>
      <c r="E71" s="6" t="str">
        <f>"20210827"</f>
        <v>20210827</v>
      </c>
      <c r="F71" s="7">
        <v>103.4</v>
      </c>
      <c r="G71" s="7">
        <v>83.31</v>
      </c>
      <c r="H71" s="7">
        <v>91.35</v>
      </c>
      <c r="I71" s="6">
        <v>85.88</v>
      </c>
      <c r="J71" s="7">
        <f>H71*0.6+I71*0.4</f>
        <v>89.162</v>
      </c>
    </row>
    <row r="72" s="1" customFormat="1" customHeight="1" spans="1:10">
      <c r="A72" s="6">
        <v>70</v>
      </c>
      <c r="B72" s="6" t="str">
        <f>"2021104"</f>
        <v>2021104</v>
      </c>
      <c r="C72" s="6" t="s">
        <v>14</v>
      </c>
      <c r="D72" s="6" t="str">
        <f>"高雅晴"</f>
        <v>高雅晴</v>
      </c>
      <c r="E72" s="6" t="str">
        <f>"20210806"</f>
        <v>20210806</v>
      </c>
      <c r="F72" s="7">
        <v>100.3</v>
      </c>
      <c r="G72" s="7">
        <v>84.63</v>
      </c>
      <c r="H72" s="7">
        <v>90.9</v>
      </c>
      <c r="I72" s="6">
        <v>76.34</v>
      </c>
      <c r="J72" s="7">
        <f>H72*0.6+I72*0.4</f>
        <v>85.076</v>
      </c>
    </row>
    <row r="73" s="1" customFormat="1" customHeight="1" spans="1:10">
      <c r="A73" s="6">
        <v>71</v>
      </c>
      <c r="B73" s="6" t="str">
        <f>"2021104"</f>
        <v>2021104</v>
      </c>
      <c r="C73" s="6" t="s">
        <v>14</v>
      </c>
      <c r="D73" s="6" t="str">
        <f>"张莎莎"</f>
        <v>张莎莎</v>
      </c>
      <c r="E73" s="6" t="str">
        <f>"20210825"</f>
        <v>20210825</v>
      </c>
      <c r="F73" s="7">
        <v>96.5</v>
      </c>
      <c r="G73" s="7">
        <v>86.32</v>
      </c>
      <c r="H73" s="7">
        <v>90.39</v>
      </c>
      <c r="I73" s="6">
        <v>80.4</v>
      </c>
      <c r="J73" s="7">
        <f>H73*0.6+I73*0.4</f>
        <v>86.394</v>
      </c>
    </row>
    <row r="74" s="1" customFormat="1" customHeight="1" spans="1:10">
      <c r="A74" s="6">
        <v>72</v>
      </c>
      <c r="B74" s="6" t="str">
        <f>"2021104"</f>
        <v>2021104</v>
      </c>
      <c r="C74" s="6" t="s">
        <v>14</v>
      </c>
      <c r="D74" s="6" t="str">
        <f>"王雨晨"</f>
        <v>王雨晨</v>
      </c>
      <c r="E74" s="6" t="str">
        <f>"20210130"</f>
        <v>20210130</v>
      </c>
      <c r="F74" s="7">
        <v>97.5</v>
      </c>
      <c r="G74" s="7">
        <v>84.57</v>
      </c>
      <c r="H74" s="7">
        <v>89.74</v>
      </c>
      <c r="I74" s="6">
        <v>75.5</v>
      </c>
      <c r="J74" s="7">
        <f>H74*0.6+I74*0.4</f>
        <v>84.044</v>
      </c>
    </row>
    <row r="75" s="1" customFormat="1" customHeight="1" spans="1:10">
      <c r="A75" s="6">
        <v>73</v>
      </c>
      <c r="B75" s="6" t="str">
        <f>"2021104"</f>
        <v>2021104</v>
      </c>
      <c r="C75" s="6" t="s">
        <v>14</v>
      </c>
      <c r="D75" s="6" t="str">
        <f>"殷淑慧"</f>
        <v>殷淑慧</v>
      </c>
      <c r="E75" s="6" t="str">
        <f>"20210624"</f>
        <v>20210624</v>
      </c>
      <c r="F75" s="7">
        <v>95.1</v>
      </c>
      <c r="G75" s="7">
        <v>85.05</v>
      </c>
      <c r="H75" s="7">
        <v>89.07</v>
      </c>
      <c r="I75" s="6">
        <v>79.46</v>
      </c>
      <c r="J75" s="7">
        <f>H75*0.6+I75*0.4</f>
        <v>85.226</v>
      </c>
    </row>
    <row r="76" s="1" customFormat="1" customHeight="1" spans="1:10">
      <c r="A76" s="6">
        <v>74</v>
      </c>
      <c r="B76" s="6" t="str">
        <f>"2021104"</f>
        <v>2021104</v>
      </c>
      <c r="C76" s="6" t="s">
        <v>14</v>
      </c>
      <c r="D76" s="6" t="str">
        <f>"朱小倩"</f>
        <v>朱小倩</v>
      </c>
      <c r="E76" s="6" t="str">
        <f>"20211014"</f>
        <v>20211014</v>
      </c>
      <c r="F76" s="7">
        <v>99.4</v>
      </c>
      <c r="G76" s="7">
        <v>81.62</v>
      </c>
      <c r="H76" s="7">
        <v>88.73</v>
      </c>
      <c r="I76" s="6">
        <v>87.02</v>
      </c>
      <c r="J76" s="7">
        <f>H76*0.6+I76*0.4</f>
        <v>88.046</v>
      </c>
    </row>
    <row r="77" s="1" customFormat="1" customHeight="1" spans="1:10">
      <c r="A77" s="6">
        <v>75</v>
      </c>
      <c r="B77" s="6" t="str">
        <f>"2021104"</f>
        <v>2021104</v>
      </c>
      <c r="C77" s="6" t="s">
        <v>14</v>
      </c>
      <c r="D77" s="6" t="str">
        <f>"夏思雅"</f>
        <v>夏思雅</v>
      </c>
      <c r="E77" s="6" t="str">
        <f>"20210118"</f>
        <v>20210118</v>
      </c>
      <c r="F77" s="7">
        <v>98</v>
      </c>
      <c r="G77" s="7">
        <v>81.37</v>
      </c>
      <c r="H77" s="7">
        <v>88.02</v>
      </c>
      <c r="I77" s="6">
        <v>87.52</v>
      </c>
      <c r="J77" s="7">
        <f>H77*0.6+I77*0.4</f>
        <v>87.82</v>
      </c>
    </row>
    <row r="78" s="1" customFormat="1" customHeight="1" spans="1:10">
      <c r="A78" s="6">
        <v>76</v>
      </c>
      <c r="B78" s="6" t="str">
        <f>"2021104"</f>
        <v>2021104</v>
      </c>
      <c r="C78" s="6" t="s">
        <v>14</v>
      </c>
      <c r="D78" s="6" t="str">
        <f>"王静"</f>
        <v>王静</v>
      </c>
      <c r="E78" s="6" t="str">
        <f>"20210923"</f>
        <v>20210923</v>
      </c>
      <c r="F78" s="7">
        <v>95.7</v>
      </c>
      <c r="G78" s="7">
        <v>81.91</v>
      </c>
      <c r="H78" s="7">
        <v>87.43</v>
      </c>
      <c r="I78" s="6">
        <v>74.4</v>
      </c>
      <c r="J78" s="7">
        <f>H78*0.6+I78*0.4</f>
        <v>82.218</v>
      </c>
    </row>
    <row r="79" s="1" customFormat="1" customHeight="1" spans="1:10">
      <c r="A79" s="6">
        <v>77</v>
      </c>
      <c r="B79" s="6" t="str">
        <f>"2021104"</f>
        <v>2021104</v>
      </c>
      <c r="C79" s="6" t="s">
        <v>14</v>
      </c>
      <c r="D79" s="6" t="str">
        <f>"孙文杰"</f>
        <v>孙文杰</v>
      </c>
      <c r="E79" s="6" t="str">
        <f>"20210519"</f>
        <v>20210519</v>
      </c>
      <c r="F79" s="7">
        <v>90.6</v>
      </c>
      <c r="G79" s="7">
        <v>84.18</v>
      </c>
      <c r="H79" s="7">
        <v>86.75</v>
      </c>
      <c r="I79" s="6">
        <v>77.8</v>
      </c>
      <c r="J79" s="7">
        <f>H79*0.6+I79*0.4</f>
        <v>83.17</v>
      </c>
    </row>
    <row r="80" s="1" customFormat="1" customHeight="1" spans="1:10">
      <c r="A80" s="6">
        <v>78</v>
      </c>
      <c r="B80" s="6" t="str">
        <f>"2021104"</f>
        <v>2021104</v>
      </c>
      <c r="C80" s="6" t="s">
        <v>14</v>
      </c>
      <c r="D80" s="6" t="str">
        <f>"孙城城"</f>
        <v>孙城城</v>
      </c>
      <c r="E80" s="6" t="str">
        <f>"20211027"</f>
        <v>20211027</v>
      </c>
      <c r="F80" s="7">
        <v>105.4</v>
      </c>
      <c r="G80" s="7">
        <v>73.5</v>
      </c>
      <c r="H80" s="7">
        <v>86.26</v>
      </c>
      <c r="I80" s="6">
        <v>85.4</v>
      </c>
      <c r="J80" s="7">
        <f>H80*0.6+I80*0.4</f>
        <v>85.916</v>
      </c>
    </row>
    <row r="81" s="1" customFormat="1" customHeight="1" spans="1:10">
      <c r="A81" s="6">
        <v>79</v>
      </c>
      <c r="B81" s="6" t="str">
        <f>"2021104"</f>
        <v>2021104</v>
      </c>
      <c r="C81" s="6" t="s">
        <v>14</v>
      </c>
      <c r="D81" s="6" t="str">
        <f>"邓宁"</f>
        <v>邓宁</v>
      </c>
      <c r="E81" s="6" t="str">
        <f>"20210328"</f>
        <v>20210328</v>
      </c>
      <c r="F81" s="7">
        <v>91.5</v>
      </c>
      <c r="G81" s="7">
        <v>79.73</v>
      </c>
      <c r="H81" s="7">
        <v>84.44</v>
      </c>
      <c r="I81" s="6">
        <v>69.4</v>
      </c>
      <c r="J81" s="7">
        <f>H81*0.6+I81*0.4</f>
        <v>78.424</v>
      </c>
    </row>
    <row r="82" s="1" customFormat="1" customHeight="1" spans="1:10">
      <c r="A82" s="6">
        <v>80</v>
      </c>
      <c r="B82" s="6" t="str">
        <f>"2021104"</f>
        <v>2021104</v>
      </c>
      <c r="C82" s="6" t="s">
        <v>14</v>
      </c>
      <c r="D82" s="6" t="str">
        <f>"王孟司"</f>
        <v>王孟司</v>
      </c>
      <c r="E82" s="6" t="str">
        <f>"20210723"</f>
        <v>20210723</v>
      </c>
      <c r="F82" s="7">
        <v>97.5</v>
      </c>
      <c r="G82" s="7">
        <v>75.54</v>
      </c>
      <c r="H82" s="7">
        <v>84.32</v>
      </c>
      <c r="I82" s="6">
        <v>82.36</v>
      </c>
      <c r="J82" s="7">
        <f>H82*0.6+I82*0.4</f>
        <v>83.536</v>
      </c>
    </row>
    <row r="83" s="1" customFormat="1" customHeight="1" spans="1:10">
      <c r="A83" s="6">
        <v>81</v>
      </c>
      <c r="B83" s="6" t="str">
        <f>"2021104"</f>
        <v>2021104</v>
      </c>
      <c r="C83" s="6" t="s">
        <v>14</v>
      </c>
      <c r="D83" s="6" t="str">
        <f>"马兰"</f>
        <v>马兰</v>
      </c>
      <c r="E83" s="6" t="str">
        <f>"20210406"</f>
        <v>20210406</v>
      </c>
      <c r="F83" s="7">
        <v>98.7</v>
      </c>
      <c r="G83" s="7">
        <v>73.92</v>
      </c>
      <c r="H83" s="7">
        <v>83.83</v>
      </c>
      <c r="I83" s="6">
        <v>78.6</v>
      </c>
      <c r="J83" s="7">
        <f>H83*0.6+I83*0.4</f>
        <v>81.738</v>
      </c>
    </row>
    <row r="84" s="1" customFormat="1" customHeight="1" spans="1:10">
      <c r="A84" s="6">
        <v>82</v>
      </c>
      <c r="B84" s="6" t="str">
        <f>"2021104"</f>
        <v>2021104</v>
      </c>
      <c r="C84" s="6" t="s">
        <v>14</v>
      </c>
      <c r="D84" s="6" t="str">
        <f>"李梦晴"</f>
        <v>李梦晴</v>
      </c>
      <c r="E84" s="6" t="str">
        <f>"20211111"</f>
        <v>20211111</v>
      </c>
      <c r="F84" s="7">
        <v>89.5</v>
      </c>
      <c r="G84" s="7">
        <v>79.27</v>
      </c>
      <c r="H84" s="7">
        <v>83.36</v>
      </c>
      <c r="I84" s="6">
        <v>75.86</v>
      </c>
      <c r="J84" s="7">
        <f>H84*0.6+I84*0.4</f>
        <v>80.36</v>
      </c>
    </row>
    <row r="85" s="1" customFormat="1" customHeight="1" spans="1:10">
      <c r="A85" s="6">
        <v>83</v>
      </c>
      <c r="B85" s="6" t="str">
        <f>"2021104"</f>
        <v>2021104</v>
      </c>
      <c r="C85" s="6" t="s">
        <v>14</v>
      </c>
      <c r="D85" s="6" t="str">
        <f>"王梦晴"</f>
        <v>王梦晴</v>
      </c>
      <c r="E85" s="6" t="str">
        <f>"20210413"</f>
        <v>20210413</v>
      </c>
      <c r="F85" s="7">
        <v>94</v>
      </c>
      <c r="G85" s="7">
        <v>75.44</v>
      </c>
      <c r="H85" s="7">
        <v>82.86</v>
      </c>
      <c r="I85" s="6">
        <v>38.1</v>
      </c>
      <c r="J85" s="7">
        <f>H85*0.6+I85*0.4</f>
        <v>64.956</v>
      </c>
    </row>
    <row r="86" s="1" customFormat="1" customHeight="1" spans="1:10">
      <c r="A86" s="6">
        <v>84</v>
      </c>
      <c r="B86" s="6" t="str">
        <f>"2021104"</f>
        <v>2021104</v>
      </c>
      <c r="C86" s="6" t="s">
        <v>14</v>
      </c>
      <c r="D86" s="6" t="str">
        <f>"王笑笑"</f>
        <v>王笑笑</v>
      </c>
      <c r="E86" s="6" t="str">
        <f>"20210719"</f>
        <v>20210719</v>
      </c>
      <c r="F86" s="7">
        <v>86.9</v>
      </c>
      <c r="G86" s="7">
        <v>78.57</v>
      </c>
      <c r="H86" s="7">
        <v>81.9</v>
      </c>
      <c r="I86" s="6">
        <v>79.74</v>
      </c>
      <c r="J86" s="7">
        <f>H86*0.6+I86*0.4</f>
        <v>81.036</v>
      </c>
    </row>
    <row r="87" s="1" customFormat="1" customHeight="1" spans="1:10">
      <c r="A87" s="6">
        <v>85</v>
      </c>
      <c r="B87" s="6" t="str">
        <f>"2021104"</f>
        <v>2021104</v>
      </c>
      <c r="C87" s="6" t="s">
        <v>14</v>
      </c>
      <c r="D87" s="6" t="str">
        <f>"任晓婉"</f>
        <v>任晓婉</v>
      </c>
      <c r="E87" s="6" t="str">
        <f>"20210417"</f>
        <v>20210417</v>
      </c>
      <c r="F87" s="7">
        <v>90.6</v>
      </c>
      <c r="G87" s="7">
        <v>76.06</v>
      </c>
      <c r="H87" s="7">
        <v>81.88</v>
      </c>
      <c r="I87" s="6">
        <v>75.86</v>
      </c>
      <c r="J87" s="7">
        <f>H87*0.6+I87*0.4</f>
        <v>79.472</v>
      </c>
    </row>
    <row r="88" s="1" customFormat="1" customHeight="1" spans="1:10">
      <c r="A88" s="6">
        <v>86</v>
      </c>
      <c r="B88" s="6" t="str">
        <f>"2021104"</f>
        <v>2021104</v>
      </c>
      <c r="C88" s="6" t="s">
        <v>14</v>
      </c>
      <c r="D88" s="6" t="str">
        <f>"张蕊"</f>
        <v>张蕊</v>
      </c>
      <c r="E88" s="6" t="str">
        <f>"20210907"</f>
        <v>20210907</v>
      </c>
      <c r="F88" s="7">
        <v>97.9</v>
      </c>
      <c r="G88" s="7">
        <v>70.28</v>
      </c>
      <c r="H88" s="7">
        <v>81.33</v>
      </c>
      <c r="I88" s="6">
        <v>72.16</v>
      </c>
      <c r="J88" s="7">
        <f>H88*0.6+I88*0.4</f>
        <v>77.662</v>
      </c>
    </row>
    <row r="89" s="1" customFormat="1" customHeight="1" spans="1:10">
      <c r="A89" s="6">
        <v>87</v>
      </c>
      <c r="B89" s="6" t="str">
        <f>"2021104"</f>
        <v>2021104</v>
      </c>
      <c r="C89" s="6" t="s">
        <v>14</v>
      </c>
      <c r="D89" s="6" t="str">
        <f>"巩金凤"</f>
        <v>巩金凤</v>
      </c>
      <c r="E89" s="6" t="str">
        <f>"20210427"</f>
        <v>20210427</v>
      </c>
      <c r="F89" s="7">
        <v>93.5</v>
      </c>
      <c r="G89" s="7">
        <v>72.05</v>
      </c>
      <c r="H89" s="7">
        <v>80.63</v>
      </c>
      <c r="I89" s="6">
        <v>75.48</v>
      </c>
      <c r="J89" s="7">
        <f>H89*0.6+I89*0.4</f>
        <v>78.57</v>
      </c>
    </row>
    <row r="90" s="1" customFormat="1" customHeight="1" spans="1:10">
      <c r="A90" s="6">
        <v>88</v>
      </c>
      <c r="B90" s="6" t="str">
        <f>"2021104"</f>
        <v>2021104</v>
      </c>
      <c r="C90" s="6" t="s">
        <v>14</v>
      </c>
      <c r="D90" s="6" t="str">
        <f>"黄鑫"</f>
        <v>黄鑫</v>
      </c>
      <c r="E90" s="6" t="str">
        <f>"20210710"</f>
        <v>20210710</v>
      </c>
      <c r="F90" s="7">
        <v>87.1</v>
      </c>
      <c r="G90" s="7">
        <v>74.59</v>
      </c>
      <c r="H90" s="7">
        <v>79.59</v>
      </c>
      <c r="I90" s="6">
        <v>81.1</v>
      </c>
      <c r="J90" s="7">
        <f>H90*0.6+I90*0.4</f>
        <v>80.194</v>
      </c>
    </row>
    <row r="91" s="1" customFormat="1" customHeight="1" spans="1:10">
      <c r="A91" s="6">
        <v>89</v>
      </c>
      <c r="B91" s="6" t="str">
        <f>"2021104"</f>
        <v>2021104</v>
      </c>
      <c r="C91" s="6" t="s">
        <v>14</v>
      </c>
      <c r="D91" s="6" t="str">
        <f>"魏佳宝"</f>
        <v>魏佳宝</v>
      </c>
      <c r="E91" s="6" t="str">
        <f>"20210924"</f>
        <v>20210924</v>
      </c>
      <c r="F91" s="7">
        <v>87.9</v>
      </c>
      <c r="G91" s="7">
        <v>73.38</v>
      </c>
      <c r="H91" s="7">
        <v>79.19</v>
      </c>
      <c r="I91" s="6">
        <v>72.92</v>
      </c>
      <c r="J91" s="7">
        <f>H91*0.6+I91*0.4</f>
        <v>76.682</v>
      </c>
    </row>
    <row r="92" s="1" customFormat="1" customHeight="1" spans="1:10">
      <c r="A92" s="6">
        <v>90</v>
      </c>
      <c r="B92" s="6" t="str">
        <f>"2021104"</f>
        <v>2021104</v>
      </c>
      <c r="C92" s="6" t="s">
        <v>14</v>
      </c>
      <c r="D92" s="6" t="str">
        <f>"李婷"</f>
        <v>李婷</v>
      </c>
      <c r="E92" s="6" t="str">
        <f>"20210314"</f>
        <v>20210314</v>
      </c>
      <c r="F92" s="7">
        <v>87.7</v>
      </c>
      <c r="G92" s="7">
        <v>73.42</v>
      </c>
      <c r="H92" s="7">
        <v>79.13</v>
      </c>
      <c r="I92" s="6">
        <v>76.5</v>
      </c>
      <c r="J92" s="7">
        <f>H92*0.6+I92*0.4</f>
        <v>78.078</v>
      </c>
    </row>
    <row r="93" s="1" customFormat="1" customHeight="1" spans="1:10">
      <c r="A93" s="6">
        <v>91</v>
      </c>
      <c r="B93" s="6" t="str">
        <f>"2021104"</f>
        <v>2021104</v>
      </c>
      <c r="C93" s="6" t="s">
        <v>14</v>
      </c>
      <c r="D93" s="6" t="str">
        <f>"张靖宇"</f>
        <v>张靖宇</v>
      </c>
      <c r="E93" s="6" t="str">
        <f>"20210803"</f>
        <v>20210803</v>
      </c>
      <c r="F93" s="7">
        <v>82.8</v>
      </c>
      <c r="G93" s="7">
        <v>76.01</v>
      </c>
      <c r="H93" s="7">
        <v>78.73</v>
      </c>
      <c r="I93" s="6">
        <v>84.3</v>
      </c>
      <c r="J93" s="7">
        <f>H93*0.6+I93*0.4</f>
        <v>80.958</v>
      </c>
    </row>
    <row r="94" s="1" customFormat="1" customHeight="1" spans="1:10">
      <c r="A94" s="6">
        <v>92</v>
      </c>
      <c r="B94" s="6" t="str">
        <f>"2021104"</f>
        <v>2021104</v>
      </c>
      <c r="C94" s="6" t="s">
        <v>14</v>
      </c>
      <c r="D94" s="6" t="str">
        <f>"相星星"</f>
        <v>相星星</v>
      </c>
      <c r="E94" s="6" t="str">
        <f>"20210628"</f>
        <v>20210628</v>
      </c>
      <c r="F94" s="7">
        <v>77.5</v>
      </c>
      <c r="G94" s="7">
        <v>71.05</v>
      </c>
      <c r="H94" s="7">
        <v>73.63</v>
      </c>
      <c r="I94" s="6">
        <v>73.84</v>
      </c>
      <c r="J94" s="7">
        <f>H94*0.6+I94*0.4</f>
        <v>73.714</v>
      </c>
    </row>
    <row r="95" s="1" customFormat="1" customHeight="1" spans="1:10">
      <c r="A95" s="6">
        <v>93</v>
      </c>
      <c r="B95" s="6" t="str">
        <f>"2021105"</f>
        <v>2021105</v>
      </c>
      <c r="C95" s="6" t="s">
        <v>15</v>
      </c>
      <c r="D95" s="6" t="str">
        <f>"孙晚"</f>
        <v>孙晚</v>
      </c>
      <c r="E95" s="6" t="str">
        <f>"20211109"</f>
        <v>20211109</v>
      </c>
      <c r="F95" s="7">
        <v>101.5</v>
      </c>
      <c r="G95" s="7">
        <v>87.3</v>
      </c>
      <c r="H95" s="7">
        <v>92.98</v>
      </c>
      <c r="I95" s="6">
        <v>78.6</v>
      </c>
      <c r="J95" s="7">
        <f>H95*0.6+I95*0.4</f>
        <v>87.228</v>
      </c>
    </row>
    <row r="96" s="1" customFormat="1" customHeight="1" spans="1:10">
      <c r="A96" s="6">
        <v>94</v>
      </c>
      <c r="B96" s="6" t="str">
        <f>"2021105"</f>
        <v>2021105</v>
      </c>
      <c r="C96" s="6" t="s">
        <v>15</v>
      </c>
      <c r="D96" s="6" t="str">
        <f>"李宇情"</f>
        <v>李宇情</v>
      </c>
      <c r="E96" s="6" t="str">
        <f>"20210116"</f>
        <v>20210116</v>
      </c>
      <c r="F96" s="7">
        <v>100.8</v>
      </c>
      <c r="G96" s="7">
        <v>86.64</v>
      </c>
      <c r="H96" s="7">
        <v>92.3</v>
      </c>
      <c r="I96" s="6">
        <v>82.5</v>
      </c>
      <c r="J96" s="7">
        <f>H96*0.6+I96*0.4</f>
        <v>88.38</v>
      </c>
    </row>
    <row r="97" s="1" customFormat="1" customHeight="1" spans="1:10">
      <c r="A97" s="6">
        <v>95</v>
      </c>
      <c r="B97" s="6" t="str">
        <f>"2021105"</f>
        <v>2021105</v>
      </c>
      <c r="C97" s="6" t="s">
        <v>15</v>
      </c>
      <c r="D97" s="6" t="str">
        <f>"罗彤"</f>
        <v>罗彤</v>
      </c>
      <c r="E97" s="6" t="str">
        <f>"20211104"</f>
        <v>20211104</v>
      </c>
      <c r="F97" s="7">
        <v>98.9</v>
      </c>
      <c r="G97" s="7">
        <v>86.74</v>
      </c>
      <c r="H97" s="7">
        <v>91.6</v>
      </c>
      <c r="I97" s="6">
        <v>81.36</v>
      </c>
      <c r="J97" s="7">
        <f>H97*0.6+I97*0.4</f>
        <v>87.504</v>
      </c>
    </row>
    <row r="98" s="1" customFormat="1" customHeight="1" spans="1:10">
      <c r="A98" s="6">
        <v>96</v>
      </c>
      <c r="B98" s="6" t="str">
        <f>"2021105"</f>
        <v>2021105</v>
      </c>
      <c r="C98" s="6" t="s">
        <v>15</v>
      </c>
      <c r="D98" s="6" t="str">
        <f>"黄孟婷"</f>
        <v>黄孟婷</v>
      </c>
      <c r="E98" s="6" t="str">
        <f>"20210128"</f>
        <v>20210128</v>
      </c>
      <c r="F98" s="7">
        <v>100.6</v>
      </c>
      <c r="G98" s="7">
        <v>83.14</v>
      </c>
      <c r="H98" s="7">
        <v>90.12</v>
      </c>
      <c r="I98" s="6">
        <v>81</v>
      </c>
      <c r="J98" s="7">
        <f>H98*0.6+I98*0.4</f>
        <v>86.472</v>
      </c>
    </row>
    <row r="99" s="1" customFormat="1" customHeight="1" spans="1:10">
      <c r="A99" s="6">
        <v>97</v>
      </c>
      <c r="B99" s="6" t="str">
        <f>"2021105"</f>
        <v>2021105</v>
      </c>
      <c r="C99" s="6" t="s">
        <v>15</v>
      </c>
      <c r="D99" s="6" t="str">
        <f>"王香香"</f>
        <v>王香香</v>
      </c>
      <c r="E99" s="6" t="str">
        <f>"20210319"</f>
        <v>20210319</v>
      </c>
      <c r="F99" s="7">
        <v>103.8</v>
      </c>
      <c r="G99" s="7">
        <v>80.71</v>
      </c>
      <c r="H99" s="7">
        <v>89.95</v>
      </c>
      <c r="I99" s="6">
        <v>81.9</v>
      </c>
      <c r="J99" s="7">
        <f>H99*0.6+I99*0.4</f>
        <v>86.73</v>
      </c>
    </row>
    <row r="100" s="1" customFormat="1" customHeight="1" spans="1:10">
      <c r="A100" s="6">
        <v>98</v>
      </c>
      <c r="B100" s="6" t="str">
        <f>"2021105"</f>
        <v>2021105</v>
      </c>
      <c r="C100" s="6" t="s">
        <v>15</v>
      </c>
      <c r="D100" s="6" t="str">
        <f>"杨东芳"</f>
        <v>杨东芳</v>
      </c>
      <c r="E100" s="6" t="str">
        <f>"20210506"</f>
        <v>20210506</v>
      </c>
      <c r="F100" s="7">
        <v>99.2</v>
      </c>
      <c r="G100" s="7">
        <v>82.81</v>
      </c>
      <c r="H100" s="7">
        <v>89.37</v>
      </c>
      <c r="I100" s="6">
        <v>76.2</v>
      </c>
      <c r="J100" s="7">
        <f>H100*0.6+I100*0.4</f>
        <v>84.102</v>
      </c>
    </row>
    <row r="101" s="1" customFormat="1" customHeight="1" spans="1:10">
      <c r="A101" s="6">
        <v>99</v>
      </c>
      <c r="B101" s="6" t="str">
        <f>"2021105"</f>
        <v>2021105</v>
      </c>
      <c r="C101" s="6" t="s">
        <v>15</v>
      </c>
      <c r="D101" s="6" t="str">
        <f>"段海芸"</f>
        <v>段海芸</v>
      </c>
      <c r="E101" s="6" t="str">
        <f>"20211023"</f>
        <v>20211023</v>
      </c>
      <c r="F101" s="7">
        <v>101.7</v>
      </c>
      <c r="G101" s="7">
        <v>78.92</v>
      </c>
      <c r="H101" s="7">
        <v>88.03</v>
      </c>
      <c r="I101" s="6">
        <v>84.86</v>
      </c>
      <c r="J101" s="7">
        <f>H101*0.6+I101*0.4</f>
        <v>86.762</v>
      </c>
    </row>
    <row r="102" s="1" customFormat="1" customHeight="1" spans="1:10">
      <c r="A102" s="6">
        <v>100</v>
      </c>
      <c r="B102" s="6" t="str">
        <f>"2021105"</f>
        <v>2021105</v>
      </c>
      <c r="C102" s="6" t="s">
        <v>15</v>
      </c>
      <c r="D102" s="6" t="str">
        <f>"沈静静"</f>
        <v>沈静静</v>
      </c>
      <c r="E102" s="6" t="str">
        <f>"20210520"</f>
        <v>20210520</v>
      </c>
      <c r="F102" s="7">
        <v>99.8</v>
      </c>
      <c r="G102" s="7">
        <v>79.76</v>
      </c>
      <c r="H102" s="7">
        <v>87.78</v>
      </c>
      <c r="I102" s="6">
        <v>80.96</v>
      </c>
      <c r="J102" s="7">
        <f>H102*0.6+I102*0.4</f>
        <v>85.052</v>
      </c>
    </row>
    <row r="103" s="1" customFormat="1" customHeight="1" spans="1:10">
      <c r="A103" s="6">
        <v>101</v>
      </c>
      <c r="B103" s="6" t="str">
        <f>"2021105"</f>
        <v>2021105</v>
      </c>
      <c r="C103" s="6" t="s">
        <v>15</v>
      </c>
      <c r="D103" s="6" t="str">
        <f>"朱芳"</f>
        <v>朱芳</v>
      </c>
      <c r="E103" s="6" t="str">
        <f>"20210914"</f>
        <v>20210914</v>
      </c>
      <c r="F103" s="7">
        <v>101.2</v>
      </c>
      <c r="G103" s="7">
        <v>78.22</v>
      </c>
      <c r="H103" s="7">
        <v>87.41</v>
      </c>
      <c r="I103" s="6">
        <v>84.6</v>
      </c>
      <c r="J103" s="7">
        <f>H103*0.6+I103*0.4</f>
        <v>86.286</v>
      </c>
    </row>
    <row r="104" s="1" customFormat="1" customHeight="1" spans="1:10">
      <c r="A104" s="6">
        <v>102</v>
      </c>
      <c r="B104" s="6" t="str">
        <f>"2021105"</f>
        <v>2021105</v>
      </c>
      <c r="C104" s="6" t="s">
        <v>15</v>
      </c>
      <c r="D104" s="6" t="str">
        <f>"黄思云"</f>
        <v>黄思云</v>
      </c>
      <c r="E104" s="6" t="str">
        <f>"20210326"</f>
        <v>20210326</v>
      </c>
      <c r="F104" s="7">
        <v>99</v>
      </c>
      <c r="G104" s="7">
        <v>77.27</v>
      </c>
      <c r="H104" s="7">
        <v>85.96</v>
      </c>
      <c r="I104" s="6">
        <v>79.6</v>
      </c>
      <c r="J104" s="7">
        <f>H104*0.6+I104*0.4</f>
        <v>83.416</v>
      </c>
    </row>
    <row r="105" s="1" customFormat="1" customHeight="1" spans="1:10">
      <c r="A105" s="6">
        <v>103</v>
      </c>
      <c r="B105" s="6" t="str">
        <f>"2021105"</f>
        <v>2021105</v>
      </c>
      <c r="C105" s="6" t="s">
        <v>15</v>
      </c>
      <c r="D105" s="6" t="str">
        <f>"纪诚雪"</f>
        <v>纪诚雪</v>
      </c>
      <c r="E105" s="6" t="str">
        <f>"20210701"</f>
        <v>20210701</v>
      </c>
      <c r="F105" s="7">
        <v>86</v>
      </c>
      <c r="G105" s="7">
        <v>85.37</v>
      </c>
      <c r="H105" s="7">
        <v>85.62</v>
      </c>
      <c r="I105" s="6">
        <v>75.92</v>
      </c>
      <c r="J105" s="7">
        <f>H105*0.6+I105*0.4</f>
        <v>81.74</v>
      </c>
    </row>
    <row r="106" s="1" customFormat="1" customHeight="1" spans="1:10">
      <c r="A106" s="6">
        <v>104</v>
      </c>
      <c r="B106" s="6" t="str">
        <f>"2021105"</f>
        <v>2021105</v>
      </c>
      <c r="C106" s="6" t="s">
        <v>15</v>
      </c>
      <c r="D106" s="6" t="str">
        <f>"房孟云"</f>
        <v>房孟云</v>
      </c>
      <c r="E106" s="6" t="str">
        <f>"20210724"</f>
        <v>20210724</v>
      </c>
      <c r="F106" s="7">
        <v>92</v>
      </c>
      <c r="G106" s="7">
        <v>80.15</v>
      </c>
      <c r="H106" s="7">
        <v>84.89</v>
      </c>
      <c r="I106" s="6">
        <v>74.3</v>
      </c>
      <c r="J106" s="7">
        <f>H106*0.6+I106*0.4</f>
        <v>80.654</v>
      </c>
    </row>
    <row r="107" s="1" customFormat="1" customHeight="1" spans="1:10">
      <c r="A107" s="6">
        <v>105</v>
      </c>
      <c r="B107" s="6" t="str">
        <f>"2021105"</f>
        <v>2021105</v>
      </c>
      <c r="C107" s="6" t="s">
        <v>15</v>
      </c>
      <c r="D107" s="6" t="str">
        <f>"黄雪丽"</f>
        <v>黄雪丽</v>
      </c>
      <c r="E107" s="6" t="str">
        <f>"20210824"</f>
        <v>20210824</v>
      </c>
      <c r="F107" s="7">
        <v>92</v>
      </c>
      <c r="G107" s="7">
        <v>76.77</v>
      </c>
      <c r="H107" s="7">
        <v>82.86</v>
      </c>
      <c r="I107" s="6">
        <v>70.34</v>
      </c>
      <c r="J107" s="7">
        <f>H107*0.6+I107*0.4</f>
        <v>77.852</v>
      </c>
    </row>
    <row r="108" s="1" customFormat="1" customHeight="1" spans="1:10">
      <c r="A108" s="6">
        <v>106</v>
      </c>
      <c r="B108" s="6" t="str">
        <f>"2021105"</f>
        <v>2021105</v>
      </c>
      <c r="C108" s="6" t="s">
        <v>15</v>
      </c>
      <c r="D108" s="6" t="str">
        <f>"姚丹丹"</f>
        <v>姚丹丹</v>
      </c>
      <c r="E108" s="6" t="str">
        <f>"20210926"</f>
        <v>20210926</v>
      </c>
      <c r="F108" s="7">
        <v>94.6</v>
      </c>
      <c r="G108" s="7">
        <v>72.19</v>
      </c>
      <c r="H108" s="7">
        <v>81.15</v>
      </c>
      <c r="I108" s="6">
        <v>72.5</v>
      </c>
      <c r="J108" s="7">
        <f>H108*0.6+I108*0.4</f>
        <v>77.69</v>
      </c>
    </row>
    <row r="109" s="1" customFormat="1" customHeight="1" spans="1:10">
      <c r="A109" s="6">
        <v>107</v>
      </c>
      <c r="B109" s="6" t="str">
        <f>"2021105"</f>
        <v>2021105</v>
      </c>
      <c r="C109" s="6" t="s">
        <v>15</v>
      </c>
      <c r="D109" s="6" t="str">
        <f>"张雪莉"</f>
        <v>张雪莉</v>
      </c>
      <c r="E109" s="6" t="str">
        <f>"20211005"</f>
        <v>20211005</v>
      </c>
      <c r="F109" s="7">
        <v>90.1</v>
      </c>
      <c r="G109" s="7">
        <v>74.04</v>
      </c>
      <c r="H109" s="7">
        <v>80.46</v>
      </c>
      <c r="I109" s="6">
        <v>72.4</v>
      </c>
      <c r="J109" s="7">
        <f>H109*0.6+I109*0.4</f>
        <v>77.236</v>
      </c>
    </row>
    <row r="110" s="1" customFormat="1" customHeight="1" spans="1:10">
      <c r="A110" s="6">
        <v>108</v>
      </c>
      <c r="B110" s="6" t="str">
        <f>"2021105"</f>
        <v>2021105</v>
      </c>
      <c r="C110" s="6" t="s">
        <v>15</v>
      </c>
      <c r="D110" s="6" t="str">
        <f>"杨珍"</f>
        <v>杨珍</v>
      </c>
      <c r="E110" s="6" t="str">
        <f>"20210408"</f>
        <v>20210408</v>
      </c>
      <c r="F110" s="7">
        <v>89.9</v>
      </c>
      <c r="G110" s="7">
        <v>72.55</v>
      </c>
      <c r="H110" s="7">
        <v>79.49</v>
      </c>
      <c r="I110" s="6">
        <v>73.7</v>
      </c>
      <c r="J110" s="7">
        <f>H110*0.6+I110*0.4</f>
        <v>77.174</v>
      </c>
    </row>
    <row r="111" s="1" customFormat="1" customHeight="1" spans="1:10">
      <c r="A111" s="6">
        <v>109</v>
      </c>
      <c r="B111" s="6" t="str">
        <f>"2021105"</f>
        <v>2021105</v>
      </c>
      <c r="C111" s="6" t="s">
        <v>15</v>
      </c>
      <c r="D111" s="6" t="str">
        <f>"张思雨"</f>
        <v>张思雨</v>
      </c>
      <c r="E111" s="6" t="str">
        <f>"20210917"</f>
        <v>20210917</v>
      </c>
      <c r="F111" s="7">
        <v>97.3</v>
      </c>
      <c r="G111" s="7">
        <v>65.95</v>
      </c>
      <c r="H111" s="7">
        <v>78.49</v>
      </c>
      <c r="I111" s="6">
        <v>81.4</v>
      </c>
      <c r="J111" s="7">
        <f>H111*0.6+I111*0.4</f>
        <v>79.654</v>
      </c>
    </row>
    <row r="112" s="1" customFormat="1" customHeight="1" spans="1:10">
      <c r="A112" s="6">
        <v>110</v>
      </c>
      <c r="B112" s="6" t="str">
        <f>"2021105"</f>
        <v>2021105</v>
      </c>
      <c r="C112" s="6" t="s">
        <v>15</v>
      </c>
      <c r="D112" s="6" t="str">
        <f>"解程梅"</f>
        <v>解程梅</v>
      </c>
      <c r="E112" s="6" t="str">
        <f>"20210126"</f>
        <v>20210126</v>
      </c>
      <c r="F112" s="7">
        <v>91.6</v>
      </c>
      <c r="G112" s="7">
        <v>69.67</v>
      </c>
      <c r="H112" s="7">
        <v>78.44</v>
      </c>
      <c r="I112" s="6">
        <v>81.8</v>
      </c>
      <c r="J112" s="7">
        <f>H112*0.6+I112*0.4</f>
        <v>79.784</v>
      </c>
    </row>
    <row r="113" s="1" customFormat="1" customHeight="1" spans="1:10">
      <c r="A113" s="6">
        <v>111</v>
      </c>
      <c r="B113" s="6" t="str">
        <f>"2021105"</f>
        <v>2021105</v>
      </c>
      <c r="C113" s="6" t="s">
        <v>15</v>
      </c>
      <c r="D113" s="6" t="str">
        <f>"孙妮"</f>
        <v>孙妮</v>
      </c>
      <c r="E113" s="6" t="str">
        <f>"20210426"</f>
        <v>20210426</v>
      </c>
      <c r="F113" s="7">
        <v>88.2</v>
      </c>
      <c r="G113" s="7">
        <v>69.6</v>
      </c>
      <c r="H113" s="7">
        <v>77.04</v>
      </c>
      <c r="I113" s="6">
        <v>73.8</v>
      </c>
      <c r="J113" s="7">
        <f>H113*0.6+I113*0.4</f>
        <v>75.744</v>
      </c>
    </row>
    <row r="114" s="1" customFormat="1" customHeight="1" spans="1:10">
      <c r="A114" s="6">
        <v>112</v>
      </c>
      <c r="B114" s="6" t="str">
        <f>"2021105"</f>
        <v>2021105</v>
      </c>
      <c r="C114" s="6" t="s">
        <v>15</v>
      </c>
      <c r="D114" s="6" t="str">
        <f>"张月"</f>
        <v>张月</v>
      </c>
      <c r="E114" s="6" t="str">
        <f>"20210129"</f>
        <v>20210129</v>
      </c>
      <c r="F114" s="7">
        <v>89.7</v>
      </c>
      <c r="G114" s="7">
        <v>67.25</v>
      </c>
      <c r="H114" s="7">
        <v>76.23</v>
      </c>
      <c r="I114" s="6">
        <v>84.3</v>
      </c>
      <c r="J114" s="7">
        <f>H114*0.6+I114*0.4</f>
        <v>79.458</v>
      </c>
    </row>
    <row r="115" s="1" customFormat="1" customHeight="1" spans="1:10">
      <c r="A115" s="6">
        <v>113</v>
      </c>
      <c r="B115" s="6" t="str">
        <f>"2021105"</f>
        <v>2021105</v>
      </c>
      <c r="C115" s="6" t="s">
        <v>15</v>
      </c>
      <c r="D115" s="6" t="str">
        <f>"王焕"</f>
        <v>王焕</v>
      </c>
      <c r="E115" s="6" t="str">
        <f>"20210405"</f>
        <v>20210405</v>
      </c>
      <c r="F115" s="7">
        <v>80.5</v>
      </c>
      <c r="G115" s="7">
        <v>72.73</v>
      </c>
      <c r="H115" s="7">
        <v>75.84</v>
      </c>
      <c r="I115" s="6">
        <v>78.7</v>
      </c>
      <c r="J115" s="7">
        <f>H115*0.6+I115*0.4</f>
        <v>76.984</v>
      </c>
    </row>
    <row r="116" s="1" customFormat="1" customHeight="1" spans="1:10">
      <c r="A116" s="6">
        <v>114</v>
      </c>
      <c r="B116" s="6" t="str">
        <f>"2021105"</f>
        <v>2021105</v>
      </c>
      <c r="C116" s="6" t="s">
        <v>15</v>
      </c>
      <c r="D116" s="6" t="str">
        <f>"王阿瑞"</f>
        <v>王阿瑞</v>
      </c>
      <c r="E116" s="6" t="str">
        <f>"20211106"</f>
        <v>20211106</v>
      </c>
      <c r="F116" s="7">
        <v>88.2</v>
      </c>
      <c r="G116" s="7">
        <v>62.86</v>
      </c>
      <c r="H116" s="7">
        <v>73</v>
      </c>
      <c r="I116" s="6">
        <v>75.8</v>
      </c>
      <c r="J116" s="7">
        <f>H116*0.6+I116*0.4</f>
        <v>74.12</v>
      </c>
    </row>
    <row r="117" s="1" customFormat="1" customHeight="1" spans="1:10">
      <c r="A117" s="6">
        <v>115</v>
      </c>
      <c r="B117" s="6" t="str">
        <f>"2021106"</f>
        <v>2021106</v>
      </c>
      <c r="C117" s="6" t="s">
        <v>16</v>
      </c>
      <c r="D117" s="6" t="str">
        <f>"徐宵"</f>
        <v>徐宵</v>
      </c>
      <c r="E117" s="6" t="str">
        <f>"20211029"</f>
        <v>20211029</v>
      </c>
      <c r="F117" s="7">
        <v>110.2</v>
      </c>
      <c r="G117" s="7">
        <v>99.19</v>
      </c>
      <c r="H117" s="7">
        <v>103.59</v>
      </c>
      <c r="I117" s="6">
        <v>69.92</v>
      </c>
      <c r="J117" s="7">
        <f>H117*0.6+I117*0.4</f>
        <v>90.122</v>
      </c>
    </row>
    <row r="118" s="1" customFormat="1" customHeight="1" spans="1:10">
      <c r="A118" s="6">
        <v>116</v>
      </c>
      <c r="B118" s="6" t="str">
        <f>"2021106"</f>
        <v>2021106</v>
      </c>
      <c r="C118" s="6" t="s">
        <v>16</v>
      </c>
      <c r="D118" s="6" t="str">
        <f>"刘杨梦"</f>
        <v>刘杨梦</v>
      </c>
      <c r="E118" s="6" t="str">
        <f>"20210919"</f>
        <v>20210919</v>
      </c>
      <c r="F118" s="7">
        <v>106.5</v>
      </c>
      <c r="G118" s="7">
        <v>97.27</v>
      </c>
      <c r="H118" s="7">
        <v>100.96</v>
      </c>
      <c r="I118" s="6">
        <v>77.28</v>
      </c>
      <c r="J118" s="7">
        <f>H118*0.6+I118*0.4</f>
        <v>91.488</v>
      </c>
    </row>
    <row r="119" s="1" customFormat="1" customHeight="1" spans="1:10">
      <c r="A119" s="6">
        <v>117</v>
      </c>
      <c r="B119" s="6" t="str">
        <f>"2021106"</f>
        <v>2021106</v>
      </c>
      <c r="C119" s="6" t="s">
        <v>16</v>
      </c>
      <c r="D119" s="6" t="str">
        <f>"赵宁"</f>
        <v>赵宁</v>
      </c>
      <c r="E119" s="6" t="str">
        <f>"20211113"</f>
        <v>20211113</v>
      </c>
      <c r="F119" s="7">
        <v>106.2</v>
      </c>
      <c r="G119" s="7">
        <v>95.69</v>
      </c>
      <c r="H119" s="7">
        <v>99.89</v>
      </c>
      <c r="I119" s="6">
        <v>74.6</v>
      </c>
      <c r="J119" s="7">
        <f>H119*0.6+I119*0.4</f>
        <v>89.774</v>
      </c>
    </row>
    <row r="120" s="1" customFormat="1" customHeight="1" spans="1:10">
      <c r="A120" s="6">
        <v>118</v>
      </c>
      <c r="B120" s="6" t="str">
        <f>"2021106"</f>
        <v>2021106</v>
      </c>
      <c r="C120" s="6" t="s">
        <v>16</v>
      </c>
      <c r="D120" s="6" t="str">
        <f>"马红艳"</f>
        <v>马红艳</v>
      </c>
      <c r="E120" s="6" t="str">
        <f>"20210207"</f>
        <v>20210207</v>
      </c>
      <c r="F120" s="7">
        <v>101.9</v>
      </c>
      <c r="G120" s="7">
        <v>96.37</v>
      </c>
      <c r="H120" s="7">
        <v>98.58</v>
      </c>
      <c r="I120" s="6">
        <v>74.18</v>
      </c>
      <c r="J120" s="7">
        <f>H120*0.6+I120*0.4</f>
        <v>88.82</v>
      </c>
    </row>
    <row r="121" s="1" customFormat="1" customHeight="1" spans="1:10">
      <c r="A121" s="6">
        <v>119</v>
      </c>
      <c r="B121" s="6" t="str">
        <f>"2021106"</f>
        <v>2021106</v>
      </c>
      <c r="C121" s="6" t="s">
        <v>16</v>
      </c>
      <c r="D121" s="6" t="str">
        <f>"黄晨"</f>
        <v>黄晨</v>
      </c>
      <c r="E121" s="6" t="str">
        <f>"20210928"</f>
        <v>20210928</v>
      </c>
      <c r="F121" s="7">
        <v>104.4</v>
      </c>
      <c r="G121" s="7">
        <v>93.62</v>
      </c>
      <c r="H121" s="7">
        <v>97.93</v>
      </c>
      <c r="I121" s="6">
        <v>68.72</v>
      </c>
      <c r="J121" s="7">
        <f>H121*0.6+I121*0.4</f>
        <v>86.246</v>
      </c>
    </row>
    <row r="122" s="1" customFormat="1" customHeight="1" spans="1:10">
      <c r="A122" s="6">
        <v>120</v>
      </c>
      <c r="B122" s="6" t="str">
        <f>"2021106"</f>
        <v>2021106</v>
      </c>
      <c r="C122" s="6" t="s">
        <v>16</v>
      </c>
      <c r="D122" s="6" t="str">
        <f>"郑明慧"</f>
        <v>郑明慧</v>
      </c>
      <c r="E122" s="6" t="str">
        <f>"20210220"</f>
        <v>20210220</v>
      </c>
      <c r="F122" s="7">
        <v>105.3</v>
      </c>
      <c r="G122" s="7">
        <v>89.17</v>
      </c>
      <c r="H122" s="7">
        <v>95.62</v>
      </c>
      <c r="I122" s="6">
        <v>82.06</v>
      </c>
      <c r="J122" s="7">
        <f>H122*0.6+I122*0.4</f>
        <v>90.196</v>
      </c>
    </row>
    <row r="123" s="1" customFormat="1" customHeight="1" spans="1:10">
      <c r="A123" s="6">
        <v>121</v>
      </c>
      <c r="B123" s="6" t="str">
        <f>"2021106"</f>
        <v>2021106</v>
      </c>
      <c r="C123" s="6" t="s">
        <v>16</v>
      </c>
      <c r="D123" s="6" t="str">
        <f>"纪远远"</f>
        <v>纪远远</v>
      </c>
      <c r="E123" s="6" t="str">
        <f>"20210908"</f>
        <v>20210908</v>
      </c>
      <c r="F123" s="7">
        <v>98.6</v>
      </c>
      <c r="G123" s="7">
        <v>92.06</v>
      </c>
      <c r="H123" s="7">
        <v>94.68</v>
      </c>
      <c r="I123" s="6">
        <v>76.1</v>
      </c>
      <c r="J123" s="7">
        <f>H123*0.6+I123*0.4</f>
        <v>87.248</v>
      </c>
    </row>
    <row r="124" s="1" customFormat="1" customHeight="1" spans="1:10">
      <c r="A124" s="6">
        <v>122</v>
      </c>
      <c r="B124" s="6" t="str">
        <f>"2021106"</f>
        <v>2021106</v>
      </c>
      <c r="C124" s="6" t="s">
        <v>16</v>
      </c>
      <c r="D124" s="6" t="str">
        <f>"刘月玲"</f>
        <v>刘月玲</v>
      </c>
      <c r="E124" s="6" t="str">
        <f>"20210729"</f>
        <v>20210729</v>
      </c>
      <c r="F124" s="7">
        <v>101.9</v>
      </c>
      <c r="G124" s="7">
        <v>89.17</v>
      </c>
      <c r="H124" s="7">
        <v>94.26</v>
      </c>
      <c r="I124" s="6">
        <v>82.22</v>
      </c>
      <c r="J124" s="7">
        <f>H124*0.6+I124*0.4</f>
        <v>89.444</v>
      </c>
    </row>
    <row r="125" s="1" customFormat="1" customHeight="1" spans="1:10">
      <c r="A125" s="6">
        <v>123</v>
      </c>
      <c r="B125" s="6" t="str">
        <f>"2021106"</f>
        <v>2021106</v>
      </c>
      <c r="C125" s="6" t="s">
        <v>16</v>
      </c>
      <c r="D125" s="6" t="str">
        <f>"罗胜男"</f>
        <v>罗胜男</v>
      </c>
      <c r="E125" s="6" t="str">
        <f>"20210508"</f>
        <v>20210508</v>
      </c>
      <c r="F125" s="7">
        <v>101.4</v>
      </c>
      <c r="G125" s="7">
        <v>85.17</v>
      </c>
      <c r="H125" s="7">
        <v>91.66</v>
      </c>
      <c r="I125" s="6">
        <v>82.37</v>
      </c>
      <c r="J125" s="7">
        <f>H125*0.6+I125*0.4</f>
        <v>87.944</v>
      </c>
    </row>
    <row r="126" s="1" customFormat="1" customHeight="1" spans="1:10">
      <c r="A126" s="6">
        <v>124</v>
      </c>
      <c r="B126" s="6" t="str">
        <f>"2021106"</f>
        <v>2021106</v>
      </c>
      <c r="C126" s="6" t="s">
        <v>16</v>
      </c>
      <c r="D126" s="6" t="str">
        <f>"马欣"</f>
        <v>马欣</v>
      </c>
      <c r="E126" s="6" t="str">
        <f>"20210920"</f>
        <v>20210920</v>
      </c>
      <c r="F126" s="7">
        <v>100.1</v>
      </c>
      <c r="G126" s="7">
        <v>85.72</v>
      </c>
      <c r="H126" s="7">
        <v>91.47</v>
      </c>
      <c r="I126" s="6">
        <v>76.28</v>
      </c>
      <c r="J126" s="7">
        <f>H126*0.6+I126*0.4</f>
        <v>85.394</v>
      </c>
    </row>
    <row r="127" s="1" customFormat="1" customHeight="1" spans="1:10">
      <c r="A127" s="6">
        <v>125</v>
      </c>
      <c r="B127" s="6" t="str">
        <f>"2021106"</f>
        <v>2021106</v>
      </c>
      <c r="C127" s="6" t="s">
        <v>16</v>
      </c>
      <c r="D127" s="6" t="str">
        <f>"张娣"</f>
        <v>张娣</v>
      </c>
      <c r="E127" s="6" t="str">
        <f>"20211105"</f>
        <v>20211105</v>
      </c>
      <c r="F127" s="7">
        <v>101.3</v>
      </c>
      <c r="G127" s="7">
        <v>84.24</v>
      </c>
      <c r="H127" s="7">
        <v>91.06</v>
      </c>
      <c r="I127" s="6">
        <v>71.53</v>
      </c>
      <c r="J127" s="7">
        <f>H127*0.6+I127*0.4</f>
        <v>83.248</v>
      </c>
    </row>
    <row r="128" s="1" customFormat="1" customHeight="1" spans="1:10">
      <c r="A128" s="6">
        <v>126</v>
      </c>
      <c r="B128" s="6" t="str">
        <f>"2021106"</f>
        <v>2021106</v>
      </c>
      <c r="C128" s="6" t="s">
        <v>16</v>
      </c>
      <c r="D128" s="6" t="str">
        <f>"任珂蓉"</f>
        <v>任珂蓉</v>
      </c>
      <c r="E128" s="6" t="str">
        <f>"20210901"</f>
        <v>20210901</v>
      </c>
      <c r="F128" s="7">
        <v>96.5</v>
      </c>
      <c r="G128" s="7">
        <v>85.69</v>
      </c>
      <c r="H128" s="7">
        <v>90.01</v>
      </c>
      <c r="I128" s="6">
        <v>84.39</v>
      </c>
      <c r="J128" s="7">
        <f>H128*0.6+I128*0.4</f>
        <v>87.762</v>
      </c>
    </row>
    <row r="129" s="1" customFormat="1" customHeight="1" spans="1:10">
      <c r="A129" s="6">
        <v>127</v>
      </c>
      <c r="B129" s="6" t="str">
        <f>"2021106"</f>
        <v>2021106</v>
      </c>
      <c r="C129" s="6" t="s">
        <v>16</v>
      </c>
      <c r="D129" s="6" t="str">
        <f>"郑婷婷"</f>
        <v>郑婷婷</v>
      </c>
      <c r="E129" s="6" t="str">
        <f>"20210216"</f>
        <v>20210216</v>
      </c>
      <c r="F129" s="7">
        <v>101.8</v>
      </c>
      <c r="G129" s="7">
        <v>79.67</v>
      </c>
      <c r="H129" s="7">
        <v>88.52</v>
      </c>
      <c r="I129" s="6">
        <v>82.13</v>
      </c>
      <c r="J129" s="7">
        <f>H129*0.6+I129*0.4</f>
        <v>85.964</v>
      </c>
    </row>
    <row r="130" s="1" customFormat="1" customHeight="1" spans="1:10">
      <c r="A130" s="6">
        <v>128</v>
      </c>
      <c r="B130" s="6" t="str">
        <f>"2021106"</f>
        <v>2021106</v>
      </c>
      <c r="C130" s="6" t="s">
        <v>16</v>
      </c>
      <c r="D130" s="6" t="str">
        <f>"代玲玉"</f>
        <v>代玲玉</v>
      </c>
      <c r="E130" s="6" t="str">
        <f>"20210828"</f>
        <v>20210828</v>
      </c>
      <c r="F130" s="7">
        <v>101.8</v>
      </c>
      <c r="G130" s="7">
        <v>78.9</v>
      </c>
      <c r="H130" s="7">
        <v>88.06</v>
      </c>
      <c r="I130" s="6">
        <v>81.94</v>
      </c>
      <c r="J130" s="7">
        <f>H130*0.6+I130*0.4</f>
        <v>85.612</v>
      </c>
    </row>
    <row r="131" s="1" customFormat="1" customHeight="1" spans="1:10">
      <c r="A131" s="6">
        <v>129</v>
      </c>
      <c r="B131" s="6" t="str">
        <f>"2021106"</f>
        <v>2021106</v>
      </c>
      <c r="C131" s="6" t="s">
        <v>16</v>
      </c>
      <c r="D131" s="6" t="str">
        <f>"崔静媛"</f>
        <v>崔静媛</v>
      </c>
      <c r="E131" s="6" t="str">
        <f>"20210911"</f>
        <v>20210911</v>
      </c>
      <c r="F131" s="7">
        <v>95.7</v>
      </c>
      <c r="G131" s="7">
        <v>82.18</v>
      </c>
      <c r="H131" s="7">
        <v>87.59</v>
      </c>
      <c r="I131" s="6">
        <v>0</v>
      </c>
      <c r="J131" s="7">
        <f>H131*0.6+I131*0.4</f>
        <v>52.554</v>
      </c>
    </row>
    <row r="132" s="1" customFormat="1" customHeight="1" spans="1:10">
      <c r="A132" s="6">
        <v>130</v>
      </c>
      <c r="B132" s="6" t="str">
        <f>"2021106"</f>
        <v>2021106</v>
      </c>
      <c r="C132" s="6" t="s">
        <v>16</v>
      </c>
      <c r="D132" s="6" t="str">
        <f>"王慧"</f>
        <v>王慧</v>
      </c>
      <c r="E132" s="6" t="str">
        <f>"20211001"</f>
        <v>20211001</v>
      </c>
      <c r="F132" s="7">
        <v>94.1</v>
      </c>
      <c r="G132" s="7">
        <v>81.02</v>
      </c>
      <c r="H132" s="7">
        <v>86.25</v>
      </c>
      <c r="I132" s="6">
        <v>82.7</v>
      </c>
      <c r="J132" s="7">
        <f>H132*0.6+I132*0.4</f>
        <v>84.83</v>
      </c>
    </row>
    <row r="133" s="1" customFormat="1" customHeight="1" spans="1:10">
      <c r="A133" s="6">
        <v>131</v>
      </c>
      <c r="B133" s="6" t="str">
        <f>"2021106"</f>
        <v>2021106</v>
      </c>
      <c r="C133" s="6" t="s">
        <v>16</v>
      </c>
      <c r="D133" s="6" t="str">
        <f>"马福美"</f>
        <v>马福美</v>
      </c>
      <c r="E133" s="6" t="str">
        <f>"20210316"</f>
        <v>20210316</v>
      </c>
      <c r="F133" s="7">
        <v>91.2</v>
      </c>
      <c r="G133" s="7">
        <v>81.72</v>
      </c>
      <c r="H133" s="7">
        <v>85.51</v>
      </c>
      <c r="I133" s="6">
        <v>69.12</v>
      </c>
      <c r="J133" s="7">
        <f>H133*0.6+I133*0.4</f>
        <v>78.954</v>
      </c>
    </row>
    <row r="134" s="1" customFormat="1" customHeight="1" spans="1:10">
      <c r="A134" s="6">
        <v>132</v>
      </c>
      <c r="B134" s="6" t="str">
        <f>"2021106"</f>
        <v>2021106</v>
      </c>
      <c r="C134" s="6" t="s">
        <v>16</v>
      </c>
      <c r="D134" s="6" t="str">
        <f>"庄景琪"</f>
        <v>庄景琪</v>
      </c>
      <c r="E134" s="6" t="str">
        <f>"20210611"</f>
        <v>20210611</v>
      </c>
      <c r="F134" s="7">
        <v>95.1</v>
      </c>
      <c r="G134" s="7">
        <v>78.83</v>
      </c>
      <c r="H134" s="7">
        <v>85.34</v>
      </c>
      <c r="I134" s="6">
        <v>87.78</v>
      </c>
      <c r="J134" s="7">
        <f>H134*0.6+I134*0.4</f>
        <v>86.316</v>
      </c>
    </row>
    <row r="135" s="1" customFormat="1" customHeight="1" spans="1:10">
      <c r="A135" s="6">
        <v>133</v>
      </c>
      <c r="B135" s="6" t="str">
        <f>"2021106"</f>
        <v>2021106</v>
      </c>
      <c r="C135" s="6" t="s">
        <v>16</v>
      </c>
      <c r="D135" s="6" t="str">
        <f>"周子琳"</f>
        <v>周子琳</v>
      </c>
      <c r="E135" s="6" t="str">
        <f>"20210711"</f>
        <v>20210711</v>
      </c>
      <c r="F135" s="7">
        <v>92.4</v>
      </c>
      <c r="G135" s="7">
        <v>78.64</v>
      </c>
      <c r="H135" s="7">
        <v>84.14</v>
      </c>
      <c r="I135" s="6">
        <v>79.04</v>
      </c>
      <c r="J135" s="7">
        <f>H135*0.6+I135*0.4</f>
        <v>82.1</v>
      </c>
    </row>
    <row r="136" s="1" customFormat="1" customHeight="1" spans="1:10">
      <c r="A136" s="6">
        <v>134</v>
      </c>
      <c r="B136" s="6" t="str">
        <f>"2021106"</f>
        <v>2021106</v>
      </c>
      <c r="C136" s="6" t="s">
        <v>16</v>
      </c>
      <c r="D136" s="6" t="str">
        <f>"李娜"</f>
        <v>李娜</v>
      </c>
      <c r="E136" s="6" t="str">
        <f>"20210525"</f>
        <v>20210525</v>
      </c>
      <c r="F136" s="7">
        <v>83</v>
      </c>
      <c r="G136" s="7">
        <v>83.71</v>
      </c>
      <c r="H136" s="7">
        <v>83.43</v>
      </c>
      <c r="I136" s="6">
        <v>67.93</v>
      </c>
      <c r="J136" s="7">
        <f>H136*0.6+I136*0.4</f>
        <v>77.23</v>
      </c>
    </row>
    <row r="137" s="1" customFormat="1" customHeight="1" spans="1:10">
      <c r="A137" s="6">
        <v>135</v>
      </c>
      <c r="B137" s="6" t="str">
        <f>"2021106"</f>
        <v>2021106</v>
      </c>
      <c r="C137" s="6" t="s">
        <v>16</v>
      </c>
      <c r="D137" s="6" t="str">
        <f>"韩露"</f>
        <v>韩露</v>
      </c>
      <c r="E137" s="6" t="str">
        <f>"20210205"</f>
        <v>20210205</v>
      </c>
      <c r="F137" s="7">
        <v>91.9</v>
      </c>
      <c r="G137" s="7">
        <v>77.64</v>
      </c>
      <c r="H137" s="7">
        <v>83.34</v>
      </c>
      <c r="I137" s="6">
        <v>64.5</v>
      </c>
      <c r="J137" s="7">
        <f>H137*0.6+I137*0.4</f>
        <v>75.804</v>
      </c>
    </row>
    <row r="138" s="1" customFormat="1" customHeight="1" spans="1:10">
      <c r="A138" s="6">
        <v>136</v>
      </c>
      <c r="B138" s="6" t="str">
        <f>"2021106"</f>
        <v>2021106</v>
      </c>
      <c r="C138" s="6" t="s">
        <v>16</v>
      </c>
      <c r="D138" s="6" t="str">
        <f>"沈静"</f>
        <v>沈静</v>
      </c>
      <c r="E138" s="6" t="str">
        <f>"20210718"</f>
        <v>20210718</v>
      </c>
      <c r="F138" s="7">
        <v>88.5</v>
      </c>
      <c r="G138" s="7">
        <v>77.32</v>
      </c>
      <c r="H138" s="7">
        <v>81.79</v>
      </c>
      <c r="I138" s="6">
        <v>82.34</v>
      </c>
      <c r="J138" s="7">
        <f>H138*0.6+I138*0.4</f>
        <v>82.01</v>
      </c>
    </row>
    <row r="139" s="1" customFormat="1" customHeight="1" spans="1:10">
      <c r="A139" s="6">
        <v>137</v>
      </c>
      <c r="B139" s="6" t="str">
        <f>"2021106"</f>
        <v>2021106</v>
      </c>
      <c r="C139" s="6" t="s">
        <v>16</v>
      </c>
      <c r="D139" s="6" t="str">
        <f>"张群"</f>
        <v>张群</v>
      </c>
      <c r="E139" s="6" t="str">
        <f>"20210522"</f>
        <v>20210522</v>
      </c>
      <c r="F139" s="7">
        <v>83.8</v>
      </c>
      <c r="G139" s="7">
        <v>79.14</v>
      </c>
      <c r="H139" s="7">
        <v>81</v>
      </c>
      <c r="I139" s="8">
        <v>0</v>
      </c>
      <c r="J139" s="7">
        <f>H139*0.6+I139*0.4</f>
        <v>48.6</v>
      </c>
    </row>
    <row r="140" s="1" customFormat="1" customHeight="1" spans="1:10">
      <c r="A140" s="6">
        <v>138</v>
      </c>
      <c r="B140" s="6" t="str">
        <f>"2021106"</f>
        <v>2021106</v>
      </c>
      <c r="C140" s="6" t="s">
        <v>16</v>
      </c>
      <c r="D140" s="6" t="str">
        <f>"朱大翠"</f>
        <v>朱大翠</v>
      </c>
      <c r="E140" s="6" t="str">
        <f>"20210808"</f>
        <v>20210808</v>
      </c>
      <c r="F140" s="7">
        <v>90</v>
      </c>
      <c r="G140" s="7">
        <v>74.1</v>
      </c>
      <c r="H140" s="7">
        <v>80.46</v>
      </c>
      <c r="I140" s="6">
        <v>63.98</v>
      </c>
      <c r="J140" s="7">
        <f>H140*0.6+I140*0.4</f>
        <v>73.868</v>
      </c>
    </row>
    <row r="141" s="1" customFormat="1" customHeight="1" spans="1:10">
      <c r="A141" s="6">
        <v>139</v>
      </c>
      <c r="B141" s="6" t="str">
        <f>"2021106"</f>
        <v>2021106</v>
      </c>
      <c r="C141" s="6" t="s">
        <v>16</v>
      </c>
      <c r="D141" s="6" t="str">
        <f>"武美梦"</f>
        <v>武美梦</v>
      </c>
      <c r="E141" s="6" t="str">
        <f>"20210327"</f>
        <v>20210327</v>
      </c>
      <c r="F141" s="7">
        <v>84.3</v>
      </c>
      <c r="G141" s="7">
        <v>77.69</v>
      </c>
      <c r="H141" s="7">
        <v>80.33</v>
      </c>
      <c r="I141" s="6">
        <v>73.36</v>
      </c>
      <c r="J141" s="7">
        <f>H141*0.6+I141*0.4</f>
        <v>77.542</v>
      </c>
    </row>
    <row r="142" s="1" customFormat="1" customHeight="1" spans="1:10">
      <c r="A142" s="6">
        <v>140</v>
      </c>
      <c r="B142" s="6" t="str">
        <f>"2021106"</f>
        <v>2021106</v>
      </c>
      <c r="C142" s="6" t="s">
        <v>16</v>
      </c>
      <c r="D142" s="6" t="str">
        <f>"张娜娜"</f>
        <v>张娜娜</v>
      </c>
      <c r="E142" s="6" t="str">
        <f>"20210501"</f>
        <v>20210501</v>
      </c>
      <c r="F142" s="7">
        <v>97.8</v>
      </c>
      <c r="G142" s="7">
        <v>66.12</v>
      </c>
      <c r="H142" s="7">
        <v>78.79</v>
      </c>
      <c r="I142" s="6">
        <v>62.6</v>
      </c>
      <c r="J142" s="7">
        <f>H142*0.6+I142*0.4</f>
        <v>72.314</v>
      </c>
    </row>
    <row r="143" s="1" customFormat="1" customHeight="1" spans="1:10">
      <c r="A143" s="6">
        <v>141</v>
      </c>
      <c r="B143" s="6" t="str">
        <f>"2021106"</f>
        <v>2021106</v>
      </c>
      <c r="C143" s="6" t="s">
        <v>16</v>
      </c>
      <c r="D143" s="6" t="str">
        <f>"孟云"</f>
        <v>孟云</v>
      </c>
      <c r="E143" s="6" t="str">
        <f>"20210404"</f>
        <v>20210404</v>
      </c>
      <c r="F143" s="7">
        <v>89.5</v>
      </c>
      <c r="G143" s="7">
        <v>69.45</v>
      </c>
      <c r="H143" s="7">
        <v>77.47</v>
      </c>
      <c r="I143" s="6">
        <v>0</v>
      </c>
      <c r="J143" s="7">
        <f>H143*0.6+I143*0.4</f>
        <v>46.482</v>
      </c>
    </row>
    <row r="144" s="1" customFormat="1" customHeight="1" spans="1:10">
      <c r="A144" s="6">
        <v>142</v>
      </c>
      <c r="B144" s="6" t="str">
        <f>"2021106"</f>
        <v>2021106</v>
      </c>
      <c r="C144" s="6" t="s">
        <v>16</v>
      </c>
      <c r="D144" s="6" t="str">
        <f>"李琴"</f>
        <v>李琴</v>
      </c>
      <c r="E144" s="6" t="str">
        <f>"20211019"</f>
        <v>20211019</v>
      </c>
      <c r="F144" s="7">
        <v>80.8</v>
      </c>
      <c r="G144" s="7">
        <v>72.69</v>
      </c>
      <c r="H144" s="7">
        <v>75.93</v>
      </c>
      <c r="I144" s="6">
        <v>0</v>
      </c>
      <c r="J144" s="7">
        <f>H144*0.6+I144*0.4</f>
        <v>45.558</v>
      </c>
    </row>
    <row r="145" s="1" customFormat="1" customHeight="1" spans="1:10">
      <c r="A145" s="6">
        <v>143</v>
      </c>
      <c r="B145" s="6" t="str">
        <f>"2021107"</f>
        <v>2021107</v>
      </c>
      <c r="C145" s="6" t="s">
        <v>17</v>
      </c>
      <c r="D145" s="6" t="str">
        <f>"李晴晴"</f>
        <v>李晴晴</v>
      </c>
      <c r="E145" s="6" t="str">
        <f>"20210115"</f>
        <v>20210115</v>
      </c>
      <c r="F145" s="7">
        <v>112.2</v>
      </c>
      <c r="G145" s="7">
        <v>89.96</v>
      </c>
      <c r="H145" s="7">
        <v>98.86</v>
      </c>
      <c r="I145" s="6">
        <v>84.8</v>
      </c>
      <c r="J145" s="7">
        <f>H145*0.6+I145*0.4</f>
        <v>93.236</v>
      </c>
    </row>
    <row r="146" s="1" customFormat="1" customHeight="1" spans="1:10">
      <c r="A146" s="6">
        <v>144</v>
      </c>
      <c r="B146" s="6" t="str">
        <f>"2021107"</f>
        <v>2021107</v>
      </c>
      <c r="C146" s="6" t="s">
        <v>17</v>
      </c>
      <c r="D146" s="6" t="str">
        <f>"韩丹丹"</f>
        <v>韩丹丹</v>
      </c>
      <c r="E146" s="6" t="str">
        <f>"20210619"</f>
        <v>20210619</v>
      </c>
      <c r="F146" s="7">
        <v>100.3</v>
      </c>
      <c r="G146" s="7">
        <v>91.59</v>
      </c>
      <c r="H146" s="7">
        <v>95.07</v>
      </c>
      <c r="I146" s="6">
        <v>75.2</v>
      </c>
      <c r="J146" s="7">
        <f>H146*0.6+I146*0.4</f>
        <v>87.122</v>
      </c>
    </row>
    <row r="147" s="1" customFormat="1" customHeight="1" spans="1:10">
      <c r="A147" s="6">
        <v>145</v>
      </c>
      <c r="B147" s="6" t="str">
        <f>"2021107"</f>
        <v>2021107</v>
      </c>
      <c r="C147" s="6" t="s">
        <v>17</v>
      </c>
      <c r="D147" s="6" t="str">
        <f>"沈梅梅"</f>
        <v>沈梅梅</v>
      </c>
      <c r="E147" s="6" t="str">
        <f>"20210903"</f>
        <v>20210903</v>
      </c>
      <c r="F147" s="7">
        <v>95.3</v>
      </c>
      <c r="G147" s="7">
        <v>89.9</v>
      </c>
      <c r="H147" s="7">
        <v>92.06</v>
      </c>
      <c r="I147" s="6">
        <v>78.2</v>
      </c>
      <c r="J147" s="7">
        <f>H147*0.6+I147*0.4</f>
        <v>86.516</v>
      </c>
    </row>
    <row r="148" s="1" customFormat="1" customHeight="1" spans="1:10">
      <c r="A148" s="6">
        <v>146</v>
      </c>
      <c r="B148" s="6" t="str">
        <f>"2021107"</f>
        <v>2021107</v>
      </c>
      <c r="C148" s="6" t="s">
        <v>17</v>
      </c>
      <c r="D148" s="6" t="str">
        <f>"王雨"</f>
        <v>王雨</v>
      </c>
      <c r="E148" s="6" t="str">
        <f>"20210121"</f>
        <v>20210121</v>
      </c>
      <c r="F148" s="7">
        <v>101.6</v>
      </c>
      <c r="G148" s="7">
        <v>80.97</v>
      </c>
      <c r="H148" s="7">
        <v>89.22</v>
      </c>
      <c r="I148" s="6">
        <v>84.4</v>
      </c>
      <c r="J148" s="7">
        <f>H148*0.6+I148*0.4</f>
        <v>87.292</v>
      </c>
    </row>
    <row r="149" s="1" customFormat="1" customHeight="1" spans="1:10">
      <c r="A149" s="6">
        <v>147</v>
      </c>
      <c r="B149" s="6" t="str">
        <f>"2021107"</f>
        <v>2021107</v>
      </c>
      <c r="C149" s="6" t="s">
        <v>17</v>
      </c>
      <c r="D149" s="6" t="str">
        <f>"潘静怡"</f>
        <v>潘静怡</v>
      </c>
      <c r="E149" s="6" t="str">
        <f>"20210402"</f>
        <v>20210402</v>
      </c>
      <c r="F149" s="7">
        <v>100.5</v>
      </c>
      <c r="G149" s="7">
        <v>80.06</v>
      </c>
      <c r="H149" s="7">
        <v>88.24</v>
      </c>
      <c r="I149" s="6">
        <v>86.8</v>
      </c>
      <c r="J149" s="7">
        <f>H149*0.6+I149*0.4</f>
        <v>87.664</v>
      </c>
    </row>
    <row r="150" s="1" customFormat="1" customHeight="1" spans="1:10">
      <c r="A150" s="6">
        <v>148</v>
      </c>
      <c r="B150" s="6" t="str">
        <f>"2021107"</f>
        <v>2021107</v>
      </c>
      <c r="C150" s="6" t="s">
        <v>17</v>
      </c>
      <c r="D150" s="6" t="str">
        <f>"杨俊俊"</f>
        <v>杨俊俊</v>
      </c>
      <c r="E150" s="6" t="str">
        <f>"20211112"</f>
        <v>20211112</v>
      </c>
      <c r="F150" s="7">
        <v>93.9</v>
      </c>
      <c r="G150" s="7">
        <v>84.32</v>
      </c>
      <c r="H150" s="7">
        <v>88.15</v>
      </c>
      <c r="I150" s="6">
        <v>81.6</v>
      </c>
      <c r="J150" s="7">
        <f>H150*0.6+I150*0.4</f>
        <v>85.53</v>
      </c>
    </row>
    <row r="151" s="1" customFormat="1" customHeight="1" spans="1:10">
      <c r="A151" s="6">
        <v>149</v>
      </c>
      <c r="B151" s="6" t="str">
        <f>"2021107"</f>
        <v>2021107</v>
      </c>
      <c r="C151" s="6" t="s">
        <v>17</v>
      </c>
      <c r="D151" s="6" t="str">
        <f>"吕嫚丽"</f>
        <v>吕嫚丽</v>
      </c>
      <c r="E151" s="6" t="str">
        <f>"20210916"</f>
        <v>20210916</v>
      </c>
      <c r="F151" s="7">
        <v>96.4</v>
      </c>
      <c r="G151" s="7">
        <v>79.8</v>
      </c>
      <c r="H151" s="7">
        <v>86.44</v>
      </c>
      <c r="I151" s="6">
        <v>73.8</v>
      </c>
      <c r="J151" s="7">
        <f>H151*0.6+I151*0.4</f>
        <v>81.384</v>
      </c>
    </row>
    <row r="152" s="1" customFormat="1" customHeight="1" spans="1:10">
      <c r="A152" s="6">
        <v>150</v>
      </c>
      <c r="B152" s="6" t="str">
        <f>"2021107"</f>
        <v>2021107</v>
      </c>
      <c r="C152" s="6" t="s">
        <v>17</v>
      </c>
      <c r="D152" s="6" t="str">
        <f>"张婷婷"</f>
        <v>张婷婷</v>
      </c>
      <c r="E152" s="6" t="str">
        <f>"20210705"</f>
        <v>20210705</v>
      </c>
      <c r="F152" s="7">
        <v>87.4</v>
      </c>
      <c r="G152" s="7">
        <v>80.75</v>
      </c>
      <c r="H152" s="7">
        <v>83.41</v>
      </c>
      <c r="I152" s="6">
        <v>79.4</v>
      </c>
      <c r="J152" s="7">
        <f>H152*0.6+I152*0.4</f>
        <v>81.806</v>
      </c>
    </row>
    <row r="153" s="1" customFormat="1" customHeight="1" spans="1:10">
      <c r="A153" s="6">
        <v>151</v>
      </c>
      <c r="B153" s="6" t="str">
        <f>"2021107"</f>
        <v>2021107</v>
      </c>
      <c r="C153" s="6" t="s">
        <v>17</v>
      </c>
      <c r="D153" s="6" t="str">
        <f>"高思梦"</f>
        <v>高思梦</v>
      </c>
      <c r="E153" s="6" t="str">
        <f>"20210108"</f>
        <v>20210108</v>
      </c>
      <c r="F153" s="7">
        <v>95.5</v>
      </c>
      <c r="G153" s="7">
        <v>74.54</v>
      </c>
      <c r="H153" s="7">
        <v>82.92</v>
      </c>
      <c r="I153" s="6">
        <v>75.8</v>
      </c>
      <c r="J153" s="7">
        <f>H153*0.6+I153*0.4</f>
        <v>80.072</v>
      </c>
    </row>
    <row r="154" s="1" customFormat="1" customHeight="1" spans="1:10">
      <c r="A154" s="6">
        <v>152</v>
      </c>
      <c r="B154" s="6" t="str">
        <f>"2021107"</f>
        <v>2021107</v>
      </c>
      <c r="C154" s="6" t="s">
        <v>17</v>
      </c>
      <c r="D154" s="6" t="str">
        <f>"胡梦迪"</f>
        <v>胡梦迪</v>
      </c>
      <c r="E154" s="6" t="str">
        <f>"20210819"</f>
        <v>20210819</v>
      </c>
      <c r="F154" s="7">
        <v>82.8</v>
      </c>
      <c r="G154" s="7">
        <v>82.95</v>
      </c>
      <c r="H154" s="7">
        <v>82.89</v>
      </c>
      <c r="I154" s="6">
        <v>82.2</v>
      </c>
      <c r="J154" s="7">
        <f>H154*0.6+I154*0.4</f>
        <v>82.614</v>
      </c>
    </row>
    <row r="155" s="1" customFormat="1" customHeight="1" spans="1:10">
      <c r="A155" s="6">
        <v>153</v>
      </c>
      <c r="B155" s="6" t="str">
        <f>"2021107"</f>
        <v>2021107</v>
      </c>
      <c r="C155" s="6" t="s">
        <v>17</v>
      </c>
      <c r="D155" s="6" t="str">
        <f>"亓卉"</f>
        <v>亓卉</v>
      </c>
      <c r="E155" s="6" t="str">
        <f>"20210918"</f>
        <v>20210918</v>
      </c>
      <c r="F155" s="7">
        <v>92</v>
      </c>
      <c r="G155" s="7">
        <v>76.76</v>
      </c>
      <c r="H155" s="7">
        <v>82.86</v>
      </c>
      <c r="I155" s="6">
        <v>80.2</v>
      </c>
      <c r="J155" s="7">
        <f>H155*0.6+I155*0.4</f>
        <v>81.796</v>
      </c>
    </row>
    <row r="156" s="1" customFormat="1" customHeight="1" spans="1:10">
      <c r="A156" s="6">
        <v>154</v>
      </c>
      <c r="B156" s="6" t="str">
        <f>"2021107"</f>
        <v>2021107</v>
      </c>
      <c r="C156" s="6" t="s">
        <v>17</v>
      </c>
      <c r="D156" s="6" t="str">
        <f>"张金雪"</f>
        <v>张金雪</v>
      </c>
      <c r="E156" s="6" t="str">
        <f>"20210818"</f>
        <v>20210818</v>
      </c>
      <c r="F156" s="7">
        <v>87.9</v>
      </c>
      <c r="G156" s="7">
        <v>78.91</v>
      </c>
      <c r="H156" s="7">
        <v>82.51</v>
      </c>
      <c r="I156" s="6">
        <v>71.6</v>
      </c>
      <c r="J156" s="7">
        <f>H156*0.6+I156*0.4</f>
        <v>78.146</v>
      </c>
    </row>
    <row r="157" s="1" customFormat="1" customHeight="1" spans="1:10">
      <c r="A157" s="6">
        <v>155</v>
      </c>
      <c r="B157" s="6" t="str">
        <f>"2021107"</f>
        <v>2021107</v>
      </c>
      <c r="C157" s="6" t="s">
        <v>17</v>
      </c>
      <c r="D157" s="6" t="str">
        <f>"王晶"</f>
        <v>王晶</v>
      </c>
      <c r="E157" s="6" t="str">
        <f>"20210715"</f>
        <v>20210715</v>
      </c>
      <c r="F157" s="7">
        <v>88.2</v>
      </c>
      <c r="G157" s="7">
        <v>77.68</v>
      </c>
      <c r="H157" s="7">
        <v>81.89</v>
      </c>
      <c r="I157" s="6">
        <v>84.8</v>
      </c>
      <c r="J157" s="7">
        <f>H157*0.6+I157*0.4</f>
        <v>83.054</v>
      </c>
    </row>
    <row r="158" s="1" customFormat="1" customHeight="1" spans="1:10">
      <c r="A158" s="6">
        <v>156</v>
      </c>
      <c r="B158" s="6" t="str">
        <f>"2021107"</f>
        <v>2021107</v>
      </c>
      <c r="C158" s="6" t="s">
        <v>17</v>
      </c>
      <c r="D158" s="6" t="str">
        <f>"孟莞"</f>
        <v>孟莞</v>
      </c>
      <c r="E158" s="6" t="str">
        <f>"20210703"</f>
        <v>20210703</v>
      </c>
      <c r="F158" s="7">
        <v>97.3</v>
      </c>
      <c r="G158" s="7">
        <v>71.02</v>
      </c>
      <c r="H158" s="7">
        <v>81.53</v>
      </c>
      <c r="I158" s="6">
        <v>83.4</v>
      </c>
      <c r="J158" s="7">
        <f>H158*0.6+I158*0.4</f>
        <v>82.278</v>
      </c>
    </row>
    <row r="159" s="1" customFormat="1" customHeight="1" spans="1:10">
      <c r="A159" s="6">
        <v>157</v>
      </c>
      <c r="B159" s="6" t="str">
        <f>"2021107"</f>
        <v>2021107</v>
      </c>
      <c r="C159" s="6" t="s">
        <v>17</v>
      </c>
      <c r="D159" s="6" t="str">
        <f>"朱翠翠"</f>
        <v>朱翠翠</v>
      </c>
      <c r="E159" s="6" t="str">
        <f>"20210528"</f>
        <v>20210528</v>
      </c>
      <c r="F159" s="7">
        <v>91</v>
      </c>
      <c r="G159" s="7">
        <v>74.38</v>
      </c>
      <c r="H159" s="7">
        <v>81.03</v>
      </c>
      <c r="I159" s="6">
        <v>88</v>
      </c>
      <c r="J159" s="7">
        <f>H159*0.6+I159*0.4</f>
        <v>83.818</v>
      </c>
    </row>
    <row r="160" s="1" customFormat="1" customHeight="1" spans="1:10">
      <c r="A160" s="6">
        <v>158</v>
      </c>
      <c r="B160" s="6" t="str">
        <f>"2021107"</f>
        <v>2021107</v>
      </c>
      <c r="C160" s="6" t="s">
        <v>17</v>
      </c>
      <c r="D160" s="6" t="str">
        <f>"周小莉"</f>
        <v>周小莉</v>
      </c>
      <c r="E160" s="6" t="str">
        <f>"20210925"</f>
        <v>20210925</v>
      </c>
      <c r="F160" s="7">
        <v>91.8</v>
      </c>
      <c r="G160" s="7">
        <v>73.61</v>
      </c>
      <c r="H160" s="7">
        <v>80.89</v>
      </c>
      <c r="I160" s="6">
        <v>80.2</v>
      </c>
      <c r="J160" s="7">
        <f>H160*0.6+I160*0.4</f>
        <v>80.614</v>
      </c>
    </row>
    <row r="161" s="1" customFormat="1" customHeight="1" spans="1:10">
      <c r="A161" s="6">
        <v>159</v>
      </c>
      <c r="B161" s="6" t="str">
        <f>"2021107"</f>
        <v>2021107</v>
      </c>
      <c r="C161" s="6" t="s">
        <v>17</v>
      </c>
      <c r="D161" s="6" t="str">
        <f>"杨梦雅"</f>
        <v>杨梦雅</v>
      </c>
      <c r="E161" s="6" t="str">
        <f>"20210707"</f>
        <v>20210707</v>
      </c>
      <c r="F161" s="7">
        <v>94.1</v>
      </c>
      <c r="G161" s="7">
        <v>69.39</v>
      </c>
      <c r="H161" s="7">
        <v>79.27</v>
      </c>
      <c r="I161" s="6">
        <v>78.4</v>
      </c>
      <c r="J161" s="7">
        <f>H161*0.6+I161*0.4</f>
        <v>78.922</v>
      </c>
    </row>
    <row r="162" s="1" customFormat="1" customHeight="1" spans="1:10">
      <c r="A162" s="6">
        <v>160</v>
      </c>
      <c r="B162" s="6" t="str">
        <f>"2021107"</f>
        <v>2021107</v>
      </c>
      <c r="C162" s="6" t="s">
        <v>17</v>
      </c>
      <c r="D162" s="6" t="str">
        <f>"王芳方"</f>
        <v>王芳方</v>
      </c>
      <c r="E162" s="6" t="str">
        <f>"20210623"</f>
        <v>20210623</v>
      </c>
      <c r="F162" s="7">
        <v>84</v>
      </c>
      <c r="G162" s="7">
        <v>74.66</v>
      </c>
      <c r="H162" s="7">
        <v>78.4</v>
      </c>
      <c r="I162" s="6">
        <v>86.4</v>
      </c>
      <c r="J162" s="7">
        <f>H162*0.6+I162*0.4</f>
        <v>81.6</v>
      </c>
    </row>
    <row r="163" s="1" customFormat="1" customHeight="1" spans="1:10">
      <c r="A163" s="6">
        <v>161</v>
      </c>
      <c r="B163" s="6" t="str">
        <f>"2021107"</f>
        <v>2021107</v>
      </c>
      <c r="C163" s="6" t="s">
        <v>17</v>
      </c>
      <c r="D163" s="6" t="str">
        <f>"薛琴"</f>
        <v>薛琴</v>
      </c>
      <c r="E163" s="6" t="str">
        <f>"20210218"</f>
        <v>20210218</v>
      </c>
      <c r="F163" s="7">
        <v>88.7</v>
      </c>
      <c r="G163" s="7">
        <v>70.7</v>
      </c>
      <c r="H163" s="7">
        <v>77.9</v>
      </c>
      <c r="I163" s="6">
        <v>84.6</v>
      </c>
      <c r="J163" s="7">
        <f>H163*0.6+I163*0.4</f>
        <v>80.58</v>
      </c>
    </row>
    <row r="164" s="1" customFormat="1" customHeight="1" spans="1:10">
      <c r="A164" s="6">
        <v>162</v>
      </c>
      <c r="B164" s="6" t="str">
        <f>"2021107"</f>
        <v>2021107</v>
      </c>
      <c r="C164" s="6" t="s">
        <v>17</v>
      </c>
      <c r="D164" s="6" t="str">
        <f>"解婉莹"</f>
        <v>解婉莹</v>
      </c>
      <c r="E164" s="6" t="str">
        <f>"20210209"</f>
        <v>20210209</v>
      </c>
      <c r="F164" s="7">
        <v>91.1</v>
      </c>
      <c r="G164" s="7">
        <v>67.58</v>
      </c>
      <c r="H164" s="7">
        <v>76.99</v>
      </c>
      <c r="I164" s="6">
        <v>71.2</v>
      </c>
      <c r="J164" s="7">
        <f>H164*0.6+I164*0.4</f>
        <v>74.674</v>
      </c>
    </row>
    <row r="165" s="1" customFormat="1" customHeight="1" spans="1:10">
      <c r="A165" s="6">
        <v>163</v>
      </c>
      <c r="B165" s="6" t="str">
        <f>"2021107"</f>
        <v>2021107</v>
      </c>
      <c r="C165" s="6" t="s">
        <v>17</v>
      </c>
      <c r="D165" s="6" t="str">
        <f>"马丹丹"</f>
        <v>马丹丹</v>
      </c>
      <c r="E165" s="6" t="str">
        <f>"20210213"</f>
        <v>20210213</v>
      </c>
      <c r="F165" s="7">
        <v>86</v>
      </c>
      <c r="G165" s="7">
        <v>68.18</v>
      </c>
      <c r="H165" s="7">
        <v>75.31</v>
      </c>
      <c r="I165" s="6">
        <v>72.8</v>
      </c>
      <c r="J165" s="7">
        <f>H165*0.6+I165*0.4</f>
        <v>74.306</v>
      </c>
    </row>
    <row r="166" s="1" customFormat="1" customHeight="1" spans="1:10">
      <c r="A166" s="6">
        <v>164</v>
      </c>
      <c r="B166" s="6" t="str">
        <f>"2021107"</f>
        <v>2021107</v>
      </c>
      <c r="C166" s="6" t="s">
        <v>17</v>
      </c>
      <c r="D166" s="6" t="str">
        <f>"王博文"</f>
        <v>王博文</v>
      </c>
      <c r="E166" s="6" t="str">
        <f>"20210905"</f>
        <v>20210905</v>
      </c>
      <c r="F166" s="7">
        <v>85.2</v>
      </c>
      <c r="G166" s="7">
        <v>66.3</v>
      </c>
      <c r="H166" s="7">
        <v>73.86</v>
      </c>
      <c r="I166" s="6">
        <v>83</v>
      </c>
      <c r="J166" s="7">
        <f>H166*0.6+I166*0.4</f>
        <v>77.516</v>
      </c>
    </row>
    <row r="167" s="1" customFormat="1" customHeight="1" spans="1:10">
      <c r="A167" s="6">
        <v>165</v>
      </c>
      <c r="B167" s="6" t="str">
        <f>"2021108"</f>
        <v>2021108</v>
      </c>
      <c r="C167" s="6" t="s">
        <v>18</v>
      </c>
      <c r="D167" s="6" t="str">
        <f>"赵婷婷"</f>
        <v>赵婷婷</v>
      </c>
      <c r="E167" s="6" t="str">
        <f>"20211022"</f>
        <v>20211022</v>
      </c>
      <c r="F167" s="7">
        <v>107</v>
      </c>
      <c r="G167" s="7">
        <v>95.64</v>
      </c>
      <c r="H167" s="7">
        <v>100.18</v>
      </c>
      <c r="I167" s="6">
        <v>75.4</v>
      </c>
      <c r="J167" s="7">
        <f>H167*0.6+I167*0.4</f>
        <v>90.268</v>
      </c>
    </row>
    <row r="168" s="1" customFormat="1" customHeight="1" spans="1:10">
      <c r="A168" s="6">
        <v>166</v>
      </c>
      <c r="B168" s="6" t="str">
        <f>"2021108"</f>
        <v>2021108</v>
      </c>
      <c r="C168" s="6" t="s">
        <v>18</v>
      </c>
      <c r="D168" s="6" t="str">
        <f>"施杰"</f>
        <v>施杰</v>
      </c>
      <c r="E168" s="6" t="str">
        <f>"20211107"</f>
        <v>20211107</v>
      </c>
      <c r="F168" s="7">
        <v>99.9</v>
      </c>
      <c r="G168" s="7">
        <v>94.99</v>
      </c>
      <c r="H168" s="7">
        <v>96.95</v>
      </c>
      <c r="I168" s="6">
        <v>80.99</v>
      </c>
      <c r="J168" s="7">
        <f>H168*0.6+I168*0.4</f>
        <v>90.566</v>
      </c>
    </row>
    <row r="169" s="1" customFormat="1" customHeight="1" spans="1:10">
      <c r="A169" s="6">
        <v>167</v>
      </c>
      <c r="B169" s="6" t="str">
        <f>"2021108"</f>
        <v>2021108</v>
      </c>
      <c r="C169" s="6" t="s">
        <v>18</v>
      </c>
      <c r="D169" s="6" t="str">
        <f>"江丽丽"</f>
        <v>江丽丽</v>
      </c>
      <c r="E169" s="6" t="str">
        <f>"20210726"</f>
        <v>20210726</v>
      </c>
      <c r="F169" s="7">
        <v>106</v>
      </c>
      <c r="G169" s="7">
        <v>88.55</v>
      </c>
      <c r="H169" s="7">
        <v>95.53</v>
      </c>
      <c r="I169" s="6">
        <v>82.76</v>
      </c>
      <c r="J169" s="7">
        <f>H169*0.6+I169*0.4</f>
        <v>90.422</v>
      </c>
    </row>
    <row r="170" s="1" customFormat="1" customHeight="1" spans="1:10">
      <c r="A170" s="6">
        <v>168</v>
      </c>
      <c r="B170" s="6" t="str">
        <f>"2021108"</f>
        <v>2021108</v>
      </c>
      <c r="C170" s="6" t="s">
        <v>18</v>
      </c>
      <c r="D170" s="6" t="str">
        <f>"李博"</f>
        <v>李博</v>
      </c>
      <c r="E170" s="6" t="str">
        <f>"20210709"</f>
        <v>20210709</v>
      </c>
      <c r="F170" s="7">
        <v>95.4</v>
      </c>
      <c r="G170" s="7">
        <v>86.65</v>
      </c>
      <c r="H170" s="7">
        <v>90.15</v>
      </c>
      <c r="I170" s="6">
        <v>86.98</v>
      </c>
      <c r="J170" s="7">
        <f>H170*0.6+I170*0.4</f>
        <v>88.882</v>
      </c>
    </row>
    <row r="171" s="1" customFormat="1" customHeight="1" spans="1:10">
      <c r="A171" s="6">
        <v>169</v>
      </c>
      <c r="B171" s="6" t="str">
        <f>"2021108"</f>
        <v>2021108</v>
      </c>
      <c r="C171" s="6" t="s">
        <v>18</v>
      </c>
      <c r="D171" s="6" t="str">
        <f>"史会会"</f>
        <v>史会会</v>
      </c>
      <c r="E171" s="6" t="str">
        <f>"20210804"</f>
        <v>20210804</v>
      </c>
      <c r="F171" s="7">
        <v>95.4</v>
      </c>
      <c r="G171" s="7">
        <v>84.88</v>
      </c>
      <c r="H171" s="7">
        <v>89.09</v>
      </c>
      <c r="I171" s="6">
        <v>71.42</v>
      </c>
      <c r="J171" s="7">
        <f>H171*0.6+I171*0.4</f>
        <v>82.022</v>
      </c>
    </row>
    <row r="172" s="1" customFormat="1" customHeight="1" spans="1:10">
      <c r="A172" s="6">
        <v>170</v>
      </c>
      <c r="B172" s="6" t="str">
        <f>"2021108"</f>
        <v>2021108</v>
      </c>
      <c r="C172" s="6" t="s">
        <v>18</v>
      </c>
      <c r="D172" s="6" t="str">
        <f>"王宇欣"</f>
        <v>王宇欣</v>
      </c>
      <c r="E172" s="6" t="str">
        <f>"20210418"</f>
        <v>20210418</v>
      </c>
      <c r="F172" s="7">
        <v>99.5</v>
      </c>
      <c r="G172" s="7">
        <v>82.05</v>
      </c>
      <c r="H172" s="7">
        <v>89.03</v>
      </c>
      <c r="I172" s="6">
        <v>69.72</v>
      </c>
      <c r="J172" s="7">
        <f>H172*0.6+I172*0.4</f>
        <v>81.306</v>
      </c>
    </row>
    <row r="173" s="1" customFormat="1" customHeight="1" spans="1:10">
      <c r="A173" s="6">
        <v>171</v>
      </c>
      <c r="B173" s="6" t="str">
        <f>"2021108"</f>
        <v>2021108</v>
      </c>
      <c r="C173" s="6" t="s">
        <v>18</v>
      </c>
      <c r="D173" s="6" t="str">
        <f>"李瑶慧"</f>
        <v>李瑶慧</v>
      </c>
      <c r="E173" s="6" t="str">
        <f>"20210716"</f>
        <v>20210716</v>
      </c>
      <c r="F173" s="7">
        <v>90.5</v>
      </c>
      <c r="G173" s="7">
        <v>87.62</v>
      </c>
      <c r="H173" s="7">
        <v>88.77</v>
      </c>
      <c r="I173" s="6">
        <v>82.36</v>
      </c>
      <c r="J173" s="7">
        <f>H173*0.6+I173*0.4</f>
        <v>86.206</v>
      </c>
    </row>
    <row r="174" s="1" customFormat="1" customHeight="1" spans="1:10">
      <c r="A174" s="6">
        <v>172</v>
      </c>
      <c r="B174" s="6" t="str">
        <f>"2021108"</f>
        <v>2021108</v>
      </c>
      <c r="C174" s="6" t="s">
        <v>18</v>
      </c>
      <c r="D174" s="6" t="str">
        <f>"张皖雪"</f>
        <v>张皖雪</v>
      </c>
      <c r="E174" s="6" t="str">
        <f>"20210714"</f>
        <v>20210714</v>
      </c>
      <c r="F174" s="7">
        <v>101.2</v>
      </c>
      <c r="G174" s="7">
        <v>79.68</v>
      </c>
      <c r="H174" s="7">
        <v>88.29</v>
      </c>
      <c r="I174" s="6">
        <v>73.46</v>
      </c>
      <c r="J174" s="7">
        <f>H174*0.6+I174*0.4</f>
        <v>82.358</v>
      </c>
    </row>
    <row r="175" s="1" customFormat="1" customHeight="1" spans="1:10">
      <c r="A175" s="6">
        <v>173</v>
      </c>
      <c r="B175" s="6" t="str">
        <f>"2021108"</f>
        <v>2021108</v>
      </c>
      <c r="C175" s="6" t="s">
        <v>18</v>
      </c>
      <c r="D175" s="6" t="str">
        <f>"贾婷婷"</f>
        <v>贾婷婷</v>
      </c>
      <c r="E175" s="6" t="str">
        <f>"20210826"</f>
        <v>20210826</v>
      </c>
      <c r="F175" s="7">
        <v>93.2</v>
      </c>
      <c r="G175" s="7">
        <v>84.21</v>
      </c>
      <c r="H175" s="7">
        <v>87.81</v>
      </c>
      <c r="I175" s="6">
        <v>70.94</v>
      </c>
      <c r="J175" s="7">
        <f>H175*0.6+I175*0.4</f>
        <v>81.062</v>
      </c>
    </row>
    <row r="176" s="1" customFormat="1" customHeight="1" spans="1:10">
      <c r="A176" s="6">
        <v>174</v>
      </c>
      <c r="B176" s="6" t="str">
        <f>"2021108"</f>
        <v>2021108</v>
      </c>
      <c r="C176" s="6" t="s">
        <v>18</v>
      </c>
      <c r="D176" s="6" t="str">
        <f>"赵似予"</f>
        <v>赵似予</v>
      </c>
      <c r="E176" s="6" t="str">
        <f>"20210204"</f>
        <v>20210204</v>
      </c>
      <c r="F176" s="7">
        <v>96.5</v>
      </c>
      <c r="G176" s="7">
        <v>80.53</v>
      </c>
      <c r="H176" s="7">
        <v>86.92</v>
      </c>
      <c r="I176" s="6">
        <v>80.02</v>
      </c>
      <c r="J176" s="7">
        <f>H176*0.6+I176*0.4</f>
        <v>84.16</v>
      </c>
    </row>
    <row r="177" s="1" customFormat="1" customHeight="1" spans="1:10">
      <c r="A177" s="6">
        <v>175</v>
      </c>
      <c r="B177" s="6" t="str">
        <f>"2021108"</f>
        <v>2021108</v>
      </c>
      <c r="C177" s="6" t="s">
        <v>18</v>
      </c>
      <c r="D177" s="6" t="str">
        <f>"汤晴"</f>
        <v>汤晴</v>
      </c>
      <c r="E177" s="6" t="str">
        <f>"20210902"</f>
        <v>20210902</v>
      </c>
      <c r="F177" s="7">
        <v>97.6</v>
      </c>
      <c r="G177" s="7">
        <v>79.02</v>
      </c>
      <c r="H177" s="7">
        <v>86.45</v>
      </c>
      <c r="I177" s="6">
        <v>73.94</v>
      </c>
      <c r="J177" s="7">
        <f>H177*0.6+I177*0.4</f>
        <v>81.446</v>
      </c>
    </row>
    <row r="178" s="1" customFormat="1" customHeight="1" spans="1:10">
      <c r="A178" s="6">
        <v>176</v>
      </c>
      <c r="B178" s="6" t="str">
        <f>"2021108"</f>
        <v>2021108</v>
      </c>
      <c r="C178" s="6" t="s">
        <v>18</v>
      </c>
      <c r="D178" s="6" t="str">
        <f>"赵志恕"</f>
        <v>赵志恕</v>
      </c>
      <c r="E178" s="6" t="str">
        <f>"20210127"</f>
        <v>20210127</v>
      </c>
      <c r="F178" s="7">
        <v>96.6</v>
      </c>
      <c r="G178" s="7">
        <v>79.58</v>
      </c>
      <c r="H178" s="7">
        <v>86.39</v>
      </c>
      <c r="I178" s="8">
        <v>73</v>
      </c>
      <c r="J178" s="7">
        <f>H178*0.6+I178*0.4</f>
        <v>81.034</v>
      </c>
    </row>
    <row r="179" s="1" customFormat="1" customHeight="1" spans="1:10">
      <c r="A179" s="6">
        <v>177</v>
      </c>
      <c r="B179" s="6" t="str">
        <f>"2021108"</f>
        <v>2021108</v>
      </c>
      <c r="C179" s="6" t="s">
        <v>18</v>
      </c>
      <c r="D179" s="6" t="str">
        <f>"刘丽"</f>
        <v>刘丽</v>
      </c>
      <c r="E179" s="6" t="str">
        <f>"20210512"</f>
        <v>20210512</v>
      </c>
      <c r="F179" s="7">
        <v>95.1</v>
      </c>
      <c r="G179" s="7">
        <v>80.29</v>
      </c>
      <c r="H179" s="7">
        <v>86.21</v>
      </c>
      <c r="I179" s="6">
        <v>71.84</v>
      </c>
      <c r="J179" s="7">
        <f>H179*0.6+I179*0.4</f>
        <v>80.462</v>
      </c>
    </row>
    <row r="180" s="1" customFormat="1" customHeight="1" spans="1:10">
      <c r="A180" s="6">
        <v>178</v>
      </c>
      <c r="B180" s="6" t="str">
        <f>"2021108"</f>
        <v>2021108</v>
      </c>
      <c r="C180" s="6" t="s">
        <v>18</v>
      </c>
      <c r="D180" s="6" t="str">
        <f>"李元元"</f>
        <v>李元元</v>
      </c>
      <c r="E180" s="6" t="str">
        <f>"20210109"</f>
        <v>20210109</v>
      </c>
      <c r="F180" s="7">
        <v>94.1</v>
      </c>
      <c r="G180" s="7">
        <v>79.78</v>
      </c>
      <c r="H180" s="7">
        <v>85.51</v>
      </c>
      <c r="I180" s="6">
        <v>51.2</v>
      </c>
      <c r="J180" s="7">
        <f>H180*0.6+I180*0.4</f>
        <v>71.786</v>
      </c>
    </row>
    <row r="181" s="1" customFormat="1" customHeight="1" spans="1:10">
      <c r="A181" s="6">
        <v>179</v>
      </c>
      <c r="B181" s="6" t="str">
        <f>"2021108"</f>
        <v>2021108</v>
      </c>
      <c r="C181" s="6" t="s">
        <v>18</v>
      </c>
      <c r="D181" s="6" t="str">
        <f>"李瑞"</f>
        <v>李瑞</v>
      </c>
      <c r="E181" s="6" t="str">
        <f>"20210421"</f>
        <v>20210421</v>
      </c>
      <c r="F181" s="7">
        <v>95.5</v>
      </c>
      <c r="G181" s="7">
        <v>77.87</v>
      </c>
      <c r="H181" s="7">
        <v>84.92</v>
      </c>
      <c r="I181" s="6">
        <v>73.06</v>
      </c>
      <c r="J181" s="7">
        <f>H181*0.6+I181*0.4</f>
        <v>80.176</v>
      </c>
    </row>
    <row r="182" s="1" customFormat="1" customHeight="1" spans="1:10">
      <c r="A182" s="6">
        <v>180</v>
      </c>
      <c r="B182" s="6" t="str">
        <f>"2021108"</f>
        <v>2021108</v>
      </c>
      <c r="C182" s="6" t="s">
        <v>18</v>
      </c>
      <c r="D182" s="6" t="str">
        <f>"马静"</f>
        <v>马静</v>
      </c>
      <c r="E182" s="6" t="str">
        <f>"20210625"</f>
        <v>20210625</v>
      </c>
      <c r="F182" s="7">
        <v>89.9</v>
      </c>
      <c r="G182" s="7">
        <v>81.19</v>
      </c>
      <c r="H182" s="7">
        <v>84.67</v>
      </c>
      <c r="I182" s="6">
        <v>76.3</v>
      </c>
      <c r="J182" s="7">
        <f>H182*0.6+I182*0.4</f>
        <v>81.322</v>
      </c>
    </row>
    <row r="183" s="1" customFormat="1" customHeight="1" spans="1:10">
      <c r="A183" s="6">
        <v>181</v>
      </c>
      <c r="B183" s="6" t="str">
        <f>"2021108"</f>
        <v>2021108</v>
      </c>
      <c r="C183" s="6" t="s">
        <v>18</v>
      </c>
      <c r="D183" s="6" t="str">
        <f>"黄芳"</f>
        <v>黄芳</v>
      </c>
      <c r="E183" s="6" t="str">
        <f>"20210308"</f>
        <v>20210308</v>
      </c>
      <c r="F183" s="7">
        <v>88.2</v>
      </c>
      <c r="G183" s="7">
        <v>81.8</v>
      </c>
      <c r="H183" s="7">
        <v>84.36</v>
      </c>
      <c r="I183" s="6">
        <v>76.8</v>
      </c>
      <c r="J183" s="7">
        <f>H183*0.6+I183*0.4</f>
        <v>81.336</v>
      </c>
    </row>
    <row r="184" s="1" customFormat="1" customHeight="1" spans="1:10">
      <c r="A184" s="6">
        <v>182</v>
      </c>
      <c r="B184" s="6" t="str">
        <f>"2021108"</f>
        <v>2021108</v>
      </c>
      <c r="C184" s="6" t="s">
        <v>18</v>
      </c>
      <c r="D184" s="6" t="str">
        <f>"林梦蝶"</f>
        <v>林梦蝶</v>
      </c>
      <c r="E184" s="6" t="str">
        <f>"20210120"</f>
        <v>20210120</v>
      </c>
      <c r="F184" s="7">
        <v>91.1</v>
      </c>
      <c r="G184" s="7">
        <v>79.85</v>
      </c>
      <c r="H184" s="7">
        <v>84.35</v>
      </c>
      <c r="I184" s="6">
        <v>70.7</v>
      </c>
      <c r="J184" s="7">
        <f>H184*0.6+I184*0.4</f>
        <v>78.89</v>
      </c>
    </row>
    <row r="185" s="1" customFormat="1" customHeight="1" spans="1:10">
      <c r="A185" s="6">
        <v>183</v>
      </c>
      <c r="B185" s="6" t="str">
        <f>"2021108"</f>
        <v>2021108</v>
      </c>
      <c r="C185" s="6" t="s">
        <v>18</v>
      </c>
      <c r="D185" s="6" t="str">
        <f>"邓雪君"</f>
        <v>邓雪君</v>
      </c>
      <c r="E185" s="6" t="str">
        <f>"20210713"</f>
        <v>20210713</v>
      </c>
      <c r="F185" s="7">
        <v>94.2</v>
      </c>
      <c r="G185" s="7">
        <v>77.54</v>
      </c>
      <c r="H185" s="7">
        <v>84.2</v>
      </c>
      <c r="I185" s="6">
        <v>83.94</v>
      </c>
      <c r="J185" s="7">
        <f>H185*0.6+I185*0.4</f>
        <v>84.096</v>
      </c>
    </row>
    <row r="186" s="1" customFormat="1" customHeight="1" spans="1:10">
      <c r="A186" s="6">
        <v>184</v>
      </c>
      <c r="B186" s="6" t="str">
        <f>"2021108"</f>
        <v>2021108</v>
      </c>
      <c r="C186" s="6" t="s">
        <v>18</v>
      </c>
      <c r="D186" s="6" t="str">
        <f>"周弯弯"</f>
        <v>周弯弯</v>
      </c>
      <c r="E186" s="6" t="str">
        <f>"20210409"</f>
        <v>20210409</v>
      </c>
      <c r="F186" s="7">
        <v>91.7</v>
      </c>
      <c r="G186" s="7">
        <v>76.37</v>
      </c>
      <c r="H186" s="7">
        <v>82.5</v>
      </c>
      <c r="I186" s="6">
        <v>65.58</v>
      </c>
      <c r="J186" s="7">
        <f>H186*0.6+I186*0.4</f>
        <v>75.732</v>
      </c>
    </row>
    <row r="187" s="1" customFormat="1" customHeight="1" spans="1:10">
      <c r="A187" s="6">
        <v>185</v>
      </c>
      <c r="B187" s="6" t="str">
        <f>"2021108"</f>
        <v>2021108</v>
      </c>
      <c r="C187" s="6" t="s">
        <v>18</v>
      </c>
      <c r="D187" s="6" t="str">
        <f>"娄敬如"</f>
        <v>娄敬如</v>
      </c>
      <c r="E187" s="6" t="str">
        <f>"20210117"</f>
        <v>20210117</v>
      </c>
      <c r="F187" s="7">
        <v>89</v>
      </c>
      <c r="G187" s="7">
        <v>74.39</v>
      </c>
      <c r="H187" s="7">
        <v>80.23</v>
      </c>
      <c r="I187" s="6">
        <v>0</v>
      </c>
      <c r="J187" s="7">
        <f>H187*0.6+I187*0.4</f>
        <v>48.138</v>
      </c>
    </row>
    <row r="188" s="1" customFormat="1" customHeight="1" spans="1:10">
      <c r="A188" s="6">
        <v>186</v>
      </c>
      <c r="B188" s="6" t="str">
        <f>"2021108"</f>
        <v>2021108</v>
      </c>
      <c r="C188" s="6" t="s">
        <v>18</v>
      </c>
      <c r="D188" s="6" t="str">
        <f>"谢雨欣"</f>
        <v>谢雨欣</v>
      </c>
      <c r="E188" s="6" t="str">
        <f>"20211017"</f>
        <v>20211017</v>
      </c>
      <c r="F188" s="7">
        <v>82.2</v>
      </c>
      <c r="G188" s="7">
        <v>76.99</v>
      </c>
      <c r="H188" s="7">
        <v>79.07</v>
      </c>
      <c r="I188" s="6">
        <v>78.78</v>
      </c>
      <c r="J188" s="7">
        <f>H188*0.6+I188*0.4</f>
        <v>78.954</v>
      </c>
    </row>
    <row r="189" s="1" customFormat="1" customHeight="1" spans="1:10">
      <c r="A189" s="6">
        <v>187</v>
      </c>
      <c r="B189" s="6" t="str">
        <f>"2021108"</f>
        <v>2021108</v>
      </c>
      <c r="C189" s="6" t="s">
        <v>18</v>
      </c>
      <c r="D189" s="6" t="str">
        <f>"杨佳佳"</f>
        <v>杨佳佳</v>
      </c>
      <c r="E189" s="6" t="str">
        <f>"20210922"</f>
        <v>20210922</v>
      </c>
      <c r="F189" s="7">
        <v>86</v>
      </c>
      <c r="G189" s="7">
        <v>70.67</v>
      </c>
      <c r="H189" s="7">
        <v>76.8</v>
      </c>
      <c r="I189" s="6">
        <v>0</v>
      </c>
      <c r="J189" s="7">
        <f>H189*0.6+I189*0.4</f>
        <v>46.08</v>
      </c>
    </row>
    <row r="190" s="1" customFormat="1" customHeight="1" spans="1:10">
      <c r="A190" s="6">
        <v>188</v>
      </c>
      <c r="B190" s="6" t="str">
        <f>"2021108"</f>
        <v>2021108</v>
      </c>
      <c r="C190" s="6" t="s">
        <v>18</v>
      </c>
      <c r="D190" s="6" t="str">
        <f>"刘亚"</f>
        <v>刘亚</v>
      </c>
      <c r="E190" s="6" t="str">
        <f>"20210228"</f>
        <v>20210228</v>
      </c>
      <c r="F190" s="7">
        <v>90.3</v>
      </c>
      <c r="G190" s="7">
        <v>67.14</v>
      </c>
      <c r="H190" s="7">
        <v>76.4</v>
      </c>
      <c r="I190" s="6">
        <v>67.4</v>
      </c>
      <c r="J190" s="7">
        <f>H190*0.6+I190*0.4</f>
        <v>72.8</v>
      </c>
    </row>
  </sheetData>
  <sortState ref="A3:J190">
    <sortCondition ref="B3:B190"/>
    <sortCondition ref="H3:H190" descending="1"/>
  </sortState>
  <mergeCells count="1">
    <mergeCell ref="A1:J1"/>
  </mergeCells>
  <printOptions horizontalCentered="1"/>
  <pageMargins left="0.357638888888889" right="0.357638888888889" top="0.60625" bottom="0.40902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专业测试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关</dc:creator>
  <cp:lastModifiedBy>Lenovo</cp:lastModifiedBy>
  <dcterms:created xsi:type="dcterms:W3CDTF">2021-11-24T01:59:00Z</dcterms:created>
  <dcterms:modified xsi:type="dcterms:W3CDTF">2021-12-12T08:54:30Z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555C94DBAAF14BFAA1D7E716B11A029C</vt:lpwstr>
  </property>
  <property fmtid="{D5CDD505-2E9C-101B-9397-08002B2CF9AE}" pid="3" name="KSOProductBuildVer">
    <vt:lpwstr>2052-11.1.0.9914</vt:lpwstr>
  </property>
</Properties>
</file>